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2.xml" ContentType="application/vnd.openxmlformats-officedocument.drawing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3.xml" ContentType="application/vnd.openxmlformats-officedocument.drawing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49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charts/chart50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charts/chart51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charts/chart52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charts/chart53.xml" ContentType="application/vnd.openxmlformats-officedocument.drawingml.chart+xml"/>
  <Override PartName="/xl/charts/style53.xml" ContentType="application/vnd.ms-office.chartstyle+xml"/>
  <Override PartName="/xl/charts/colors53.xml" ContentType="application/vnd.ms-office.chartcolorstyle+xml"/>
  <Override PartName="/xl/charts/chart54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charts/chart55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charts/chart56.xml" ContentType="application/vnd.openxmlformats-officedocument.drawingml.chart+xml"/>
  <Override PartName="/xl/charts/style56.xml" ContentType="application/vnd.ms-office.chartstyle+xml"/>
  <Override PartName="/xl/charts/colors56.xml" ContentType="application/vnd.ms-office.chartcolorstyle+xml"/>
  <Override PartName="/xl/drawings/drawing4.xml" ContentType="application/vnd.openxmlformats-officedocument.drawing+xml"/>
  <Override PartName="/xl/charts/chart57.xml" ContentType="application/vnd.openxmlformats-officedocument.drawingml.chart+xml"/>
  <Override PartName="/xl/charts/style57.xml" ContentType="application/vnd.ms-office.chartstyle+xml"/>
  <Override PartName="/xl/charts/colors57.xml" ContentType="application/vnd.ms-office.chartcolorstyle+xml"/>
  <Override PartName="/xl/charts/chart58.xml" ContentType="application/vnd.openxmlformats-officedocument.drawingml.chart+xml"/>
  <Override PartName="/xl/charts/style58.xml" ContentType="application/vnd.ms-office.chartstyle+xml"/>
  <Override PartName="/xl/charts/colors58.xml" ContentType="application/vnd.ms-office.chartcolorstyle+xml"/>
  <Override PartName="/xl/charts/chart59.xml" ContentType="application/vnd.openxmlformats-officedocument.drawingml.chart+xml"/>
  <Override PartName="/xl/charts/style59.xml" ContentType="application/vnd.ms-office.chartstyle+xml"/>
  <Override PartName="/xl/charts/colors59.xml" ContentType="application/vnd.ms-office.chartcolorstyle+xml"/>
  <Override PartName="/xl/charts/chart60.xml" ContentType="application/vnd.openxmlformats-officedocument.drawingml.chart+xml"/>
  <Override PartName="/xl/charts/style60.xml" ContentType="application/vnd.ms-office.chartstyle+xml"/>
  <Override PartName="/xl/charts/colors60.xml" ContentType="application/vnd.ms-office.chartcolorstyle+xml"/>
  <Override PartName="/xl/charts/chart61.xml" ContentType="application/vnd.openxmlformats-officedocument.drawingml.chart+xml"/>
  <Override PartName="/xl/charts/style61.xml" ContentType="application/vnd.ms-office.chartstyle+xml"/>
  <Override PartName="/xl/charts/colors61.xml" ContentType="application/vnd.ms-office.chartcolorstyle+xml"/>
  <Override PartName="/xl/charts/chart62.xml" ContentType="application/vnd.openxmlformats-officedocument.drawingml.chart+xml"/>
  <Override PartName="/xl/charts/style62.xml" ContentType="application/vnd.ms-office.chartstyle+xml"/>
  <Override PartName="/xl/charts/colors62.xml" ContentType="application/vnd.ms-office.chartcolorstyle+xml"/>
  <Override PartName="/xl/drawings/drawing5.xml" ContentType="application/vnd.openxmlformats-officedocument.drawing+xml"/>
  <Override PartName="/xl/charts/chart63.xml" ContentType="application/vnd.openxmlformats-officedocument.drawingml.chart+xml"/>
  <Override PartName="/xl/charts/style63.xml" ContentType="application/vnd.ms-office.chartstyle+xml"/>
  <Override PartName="/xl/charts/colors63.xml" ContentType="application/vnd.ms-office.chartcolorstyle+xml"/>
  <Override PartName="/xl/charts/chart64.xml" ContentType="application/vnd.openxmlformats-officedocument.drawingml.chart+xml"/>
  <Override PartName="/xl/charts/style64.xml" ContentType="application/vnd.ms-office.chartstyle+xml"/>
  <Override PartName="/xl/charts/colors64.xml" ContentType="application/vnd.ms-office.chartcolorstyle+xml"/>
  <Override PartName="/xl/charts/chart65.xml" ContentType="application/vnd.openxmlformats-officedocument.drawingml.chart+xml"/>
  <Override PartName="/xl/charts/style65.xml" ContentType="application/vnd.ms-office.chartstyle+xml"/>
  <Override PartName="/xl/charts/colors65.xml" ContentType="application/vnd.ms-office.chartcolorstyle+xml"/>
  <Override PartName="/xl/charts/chart66.xml" ContentType="application/vnd.openxmlformats-officedocument.drawingml.chart+xml"/>
  <Override PartName="/xl/charts/style66.xml" ContentType="application/vnd.ms-office.chartstyle+xml"/>
  <Override PartName="/xl/charts/colors66.xml" ContentType="application/vnd.ms-office.chartcolorstyle+xml"/>
  <Override PartName="/xl/charts/chart67.xml" ContentType="application/vnd.openxmlformats-officedocument.drawingml.chart+xml"/>
  <Override PartName="/xl/charts/style67.xml" ContentType="application/vnd.ms-office.chartstyle+xml"/>
  <Override PartName="/xl/charts/colors67.xml" ContentType="application/vnd.ms-office.chartcolorstyle+xml"/>
  <Override PartName="/xl/charts/chart68.xml" ContentType="application/vnd.openxmlformats-officedocument.drawingml.chart+xml"/>
  <Override PartName="/xl/charts/style68.xml" ContentType="application/vnd.ms-office.chartstyle+xml"/>
  <Override PartName="/xl/charts/colors68.xml" ContentType="application/vnd.ms-office.chartcolorstyle+xml"/>
  <Override PartName="/xl/charts/chart69.xml" ContentType="application/vnd.openxmlformats-officedocument.drawingml.chart+xml"/>
  <Override PartName="/xl/charts/style69.xml" ContentType="application/vnd.ms-office.chartstyle+xml"/>
  <Override PartName="/xl/charts/colors69.xml" ContentType="application/vnd.ms-office.chartcolorstyle+xml"/>
  <Override PartName="/xl/charts/chart70.xml" ContentType="application/vnd.openxmlformats-officedocument.drawingml.chart+xml"/>
  <Override PartName="/xl/charts/style70.xml" ContentType="application/vnd.ms-office.chartstyle+xml"/>
  <Override PartName="/xl/charts/colors70.xml" ContentType="application/vnd.ms-office.chartcolorstyle+xml"/>
  <Override PartName="/xl/charts/chart71.xml" ContentType="application/vnd.openxmlformats-officedocument.drawingml.chart+xml"/>
  <Override PartName="/xl/charts/style71.xml" ContentType="application/vnd.ms-office.chartstyle+xml"/>
  <Override PartName="/xl/charts/colors71.xml" ContentType="application/vnd.ms-office.chartcolorstyle+xml"/>
  <Override PartName="/xl/charts/chart72.xml" ContentType="application/vnd.openxmlformats-officedocument.drawingml.chart+xml"/>
  <Override PartName="/xl/charts/style72.xml" ContentType="application/vnd.ms-office.chartstyle+xml"/>
  <Override PartName="/xl/charts/colors72.xml" ContentType="application/vnd.ms-office.chartcolorstyle+xml"/>
  <Override PartName="/xl/charts/chart73.xml" ContentType="application/vnd.openxmlformats-officedocument.drawingml.chart+xml"/>
  <Override PartName="/xl/charts/style73.xml" ContentType="application/vnd.ms-office.chartstyle+xml"/>
  <Override PartName="/xl/charts/colors73.xml" ContentType="application/vnd.ms-office.chartcolorstyle+xml"/>
  <Override PartName="/xl/charts/chart74.xml" ContentType="application/vnd.openxmlformats-officedocument.drawingml.chart+xml"/>
  <Override PartName="/xl/charts/style74.xml" ContentType="application/vnd.ms-office.chartstyle+xml"/>
  <Override PartName="/xl/charts/colors74.xml" ContentType="application/vnd.ms-office.chartcolorstyle+xml"/>
  <Override PartName="/xl/charts/chart75.xml" ContentType="application/vnd.openxmlformats-officedocument.drawingml.chart+xml"/>
  <Override PartName="/xl/charts/style75.xml" ContentType="application/vnd.ms-office.chartstyle+xml"/>
  <Override PartName="/xl/charts/colors75.xml" ContentType="application/vnd.ms-office.chartcolorstyle+xml"/>
  <Override PartName="/xl/charts/chart76.xml" ContentType="application/vnd.openxmlformats-officedocument.drawingml.chart+xml"/>
  <Override PartName="/xl/charts/style76.xml" ContentType="application/vnd.ms-office.chartstyle+xml"/>
  <Override PartName="/xl/charts/colors76.xml" ContentType="application/vnd.ms-office.chartcolorstyle+xml"/>
  <Override PartName="/xl/charts/chart77.xml" ContentType="application/vnd.openxmlformats-officedocument.drawingml.chart+xml"/>
  <Override PartName="/xl/charts/style77.xml" ContentType="application/vnd.ms-office.chartstyle+xml"/>
  <Override PartName="/xl/charts/colors77.xml" ContentType="application/vnd.ms-office.chartcolorstyle+xml"/>
  <Override PartName="/xl/charts/chart78.xml" ContentType="application/vnd.openxmlformats-officedocument.drawingml.chart+xml"/>
  <Override PartName="/xl/charts/style78.xml" ContentType="application/vnd.ms-office.chartstyle+xml"/>
  <Override PartName="/xl/charts/colors78.xml" ContentType="application/vnd.ms-office.chartcolorstyle+xml"/>
  <Override PartName="/xl/charts/chart79.xml" ContentType="application/vnd.openxmlformats-officedocument.drawingml.chart+xml"/>
  <Override PartName="/xl/charts/style79.xml" ContentType="application/vnd.ms-office.chartstyle+xml"/>
  <Override PartName="/xl/charts/colors79.xml" ContentType="application/vnd.ms-office.chartcolorstyle+xml"/>
  <Override PartName="/xl/charts/chart80.xml" ContentType="application/vnd.openxmlformats-officedocument.drawingml.chart+xml"/>
  <Override PartName="/xl/charts/style80.xml" ContentType="application/vnd.ms-office.chartstyle+xml"/>
  <Override PartName="/xl/charts/colors80.xml" ContentType="application/vnd.ms-office.chartcolorstyle+xml"/>
  <Override PartName="/xl/charts/chart81.xml" ContentType="application/vnd.openxmlformats-officedocument.drawingml.chart+xml"/>
  <Override PartName="/xl/charts/style81.xml" ContentType="application/vnd.ms-office.chartstyle+xml"/>
  <Override PartName="/xl/charts/colors81.xml" ContentType="application/vnd.ms-office.chartcolorstyle+xml"/>
  <Override PartName="/xl/charts/chart82.xml" ContentType="application/vnd.openxmlformats-officedocument.drawingml.chart+xml"/>
  <Override PartName="/xl/charts/style82.xml" ContentType="application/vnd.ms-office.chartstyle+xml"/>
  <Override PartName="/xl/charts/colors82.xml" ContentType="application/vnd.ms-office.chartcolorstyle+xml"/>
  <Override PartName="/xl/charts/chart83.xml" ContentType="application/vnd.openxmlformats-officedocument.drawingml.chart+xml"/>
  <Override PartName="/xl/charts/style83.xml" ContentType="application/vnd.ms-office.chartstyle+xml"/>
  <Override PartName="/xl/charts/colors83.xml" ContentType="application/vnd.ms-office.chartcolorstyle+xml"/>
  <Override PartName="/xl/charts/chart84.xml" ContentType="application/vnd.openxmlformats-officedocument.drawingml.chart+xml"/>
  <Override PartName="/xl/charts/style84.xml" ContentType="application/vnd.ms-office.chartstyle+xml"/>
  <Override PartName="/xl/charts/colors84.xml" ContentType="application/vnd.ms-office.chartcolorstyle+xml"/>
  <Override PartName="/xl/charts/chart85.xml" ContentType="application/vnd.openxmlformats-officedocument.drawingml.chart+xml"/>
  <Override PartName="/xl/charts/style85.xml" ContentType="application/vnd.ms-office.chartstyle+xml"/>
  <Override PartName="/xl/charts/colors85.xml" ContentType="application/vnd.ms-office.chartcolorstyle+xml"/>
  <Override PartName="/xl/charts/chart86.xml" ContentType="application/vnd.openxmlformats-officedocument.drawingml.chart+xml"/>
  <Override PartName="/xl/charts/style86.xml" ContentType="application/vnd.ms-office.chartstyle+xml"/>
  <Override PartName="/xl/charts/colors86.xml" ContentType="application/vnd.ms-office.chartcolorstyle+xml"/>
  <Override PartName="/xl/charts/chart87.xml" ContentType="application/vnd.openxmlformats-officedocument.drawingml.chart+xml"/>
  <Override PartName="/xl/charts/style87.xml" ContentType="application/vnd.ms-office.chartstyle+xml"/>
  <Override PartName="/xl/charts/colors87.xml" ContentType="application/vnd.ms-office.chartcolorstyle+xml"/>
  <Override PartName="/xl/charts/chart88.xml" ContentType="application/vnd.openxmlformats-officedocument.drawingml.chart+xml"/>
  <Override PartName="/xl/charts/style88.xml" ContentType="application/vnd.ms-office.chartstyle+xml"/>
  <Override PartName="/xl/charts/colors88.xml" ContentType="application/vnd.ms-office.chartcolorstyle+xml"/>
  <Override PartName="/xl/charts/chart89.xml" ContentType="application/vnd.openxmlformats-officedocument.drawingml.chart+xml"/>
  <Override PartName="/xl/charts/style89.xml" ContentType="application/vnd.ms-office.chartstyle+xml"/>
  <Override PartName="/xl/charts/colors89.xml" ContentType="application/vnd.ms-office.chartcolorstyle+xml"/>
  <Override PartName="/xl/charts/chart90.xml" ContentType="application/vnd.openxmlformats-officedocument.drawingml.chart+xml"/>
  <Override PartName="/xl/charts/style90.xml" ContentType="application/vnd.ms-office.chartstyle+xml"/>
  <Override PartName="/xl/charts/colors90.xml" ContentType="application/vnd.ms-office.chartcolorstyle+xml"/>
  <Override PartName="/xl/charts/chart91.xml" ContentType="application/vnd.openxmlformats-officedocument.drawingml.chart+xml"/>
  <Override PartName="/xl/charts/style91.xml" ContentType="application/vnd.ms-office.chartstyle+xml"/>
  <Override PartName="/xl/charts/colors91.xml" ContentType="application/vnd.ms-office.chartcolorstyle+xml"/>
  <Override PartName="/xl/charts/chart92.xml" ContentType="application/vnd.openxmlformats-officedocument.drawingml.chart+xml"/>
  <Override PartName="/xl/charts/style92.xml" ContentType="application/vnd.ms-office.chartstyle+xml"/>
  <Override PartName="/xl/charts/colors92.xml" ContentType="application/vnd.ms-office.chartcolorstyle+xml"/>
  <Override PartName="/xl/charts/chart93.xml" ContentType="application/vnd.openxmlformats-officedocument.drawingml.chart+xml"/>
  <Override PartName="/xl/charts/style93.xml" ContentType="application/vnd.ms-office.chartstyle+xml"/>
  <Override PartName="/xl/charts/colors93.xml" ContentType="application/vnd.ms-office.chartcolorstyle+xml"/>
  <Override PartName="/xl/charts/chart94.xml" ContentType="application/vnd.openxmlformats-officedocument.drawingml.chart+xml"/>
  <Override PartName="/xl/charts/style94.xml" ContentType="application/vnd.ms-office.chartstyle+xml"/>
  <Override PartName="/xl/charts/colors94.xml" ContentType="application/vnd.ms-office.chartcolorstyle+xml"/>
  <Override PartName="/xl/charts/chart95.xml" ContentType="application/vnd.openxmlformats-officedocument.drawingml.chart+xml"/>
  <Override PartName="/xl/charts/style95.xml" ContentType="application/vnd.ms-office.chartstyle+xml"/>
  <Override PartName="/xl/charts/colors95.xml" ContentType="application/vnd.ms-office.chartcolorstyle+xml"/>
  <Override PartName="/xl/charts/chart96.xml" ContentType="application/vnd.openxmlformats-officedocument.drawingml.chart+xml"/>
  <Override PartName="/xl/charts/style96.xml" ContentType="application/vnd.ms-office.chartstyle+xml"/>
  <Override PartName="/xl/charts/colors96.xml" ContentType="application/vnd.ms-office.chartcolorstyle+xml"/>
  <Override PartName="/xl/charts/chart97.xml" ContentType="application/vnd.openxmlformats-officedocument.drawingml.chart+xml"/>
  <Override PartName="/xl/charts/style97.xml" ContentType="application/vnd.ms-office.chartstyle+xml"/>
  <Override PartName="/xl/charts/colors97.xml" ContentType="application/vnd.ms-office.chartcolorstyle+xml"/>
  <Override PartName="/xl/charts/chart98.xml" ContentType="application/vnd.openxmlformats-officedocument.drawingml.chart+xml"/>
  <Override PartName="/xl/charts/style98.xml" ContentType="application/vnd.ms-office.chartstyle+xml"/>
  <Override PartName="/xl/charts/colors98.xml" ContentType="application/vnd.ms-office.chartcolorstyle+xml"/>
  <Override PartName="/xl/charts/chart99.xml" ContentType="application/vnd.openxmlformats-officedocument.drawingml.chart+xml"/>
  <Override PartName="/xl/charts/style99.xml" ContentType="application/vnd.ms-office.chartstyle+xml"/>
  <Override PartName="/xl/charts/colors99.xml" ContentType="application/vnd.ms-office.chartcolorstyle+xml"/>
  <Override PartName="/xl/charts/chart100.xml" ContentType="application/vnd.openxmlformats-officedocument.drawingml.chart+xml"/>
  <Override PartName="/xl/charts/style100.xml" ContentType="application/vnd.ms-office.chartstyle+xml"/>
  <Override PartName="/xl/charts/colors100.xml" ContentType="application/vnd.ms-office.chartcolorstyle+xml"/>
  <Override PartName="/xl/charts/chart101.xml" ContentType="application/vnd.openxmlformats-officedocument.drawingml.chart+xml"/>
  <Override PartName="/xl/charts/style101.xml" ContentType="application/vnd.ms-office.chartstyle+xml"/>
  <Override PartName="/xl/charts/colors101.xml" ContentType="application/vnd.ms-office.chartcolorstyle+xml"/>
  <Override PartName="/xl/charts/chart102.xml" ContentType="application/vnd.openxmlformats-officedocument.drawingml.chart+xml"/>
  <Override PartName="/xl/charts/style102.xml" ContentType="application/vnd.ms-office.chartstyle+xml"/>
  <Override PartName="/xl/charts/colors102.xml" ContentType="application/vnd.ms-office.chartcolorstyle+xml"/>
  <Override PartName="/xl/charts/chart103.xml" ContentType="application/vnd.openxmlformats-officedocument.drawingml.chart+xml"/>
  <Override PartName="/xl/charts/style103.xml" ContentType="application/vnd.ms-office.chartstyle+xml"/>
  <Override PartName="/xl/charts/colors103.xml" ContentType="application/vnd.ms-office.chartcolorstyle+xml"/>
  <Override PartName="/xl/charts/chart104.xml" ContentType="application/vnd.openxmlformats-officedocument.drawingml.chart+xml"/>
  <Override PartName="/xl/charts/style104.xml" ContentType="application/vnd.ms-office.chartstyle+xml"/>
  <Override PartName="/xl/charts/colors104.xml" ContentType="application/vnd.ms-office.chartcolorstyle+xml"/>
  <Override PartName="/xl/charts/chart105.xml" ContentType="application/vnd.openxmlformats-officedocument.drawingml.chart+xml"/>
  <Override PartName="/xl/charts/style105.xml" ContentType="application/vnd.ms-office.chartstyle+xml"/>
  <Override PartName="/xl/charts/colors105.xml" ContentType="application/vnd.ms-office.chartcolorstyle+xml"/>
  <Override PartName="/xl/charts/chart106.xml" ContentType="application/vnd.openxmlformats-officedocument.drawingml.chart+xml"/>
  <Override PartName="/xl/charts/style106.xml" ContentType="application/vnd.ms-office.chartstyle+xml"/>
  <Override PartName="/xl/charts/colors106.xml" ContentType="application/vnd.ms-office.chartcolorstyle+xml"/>
  <Override PartName="/xl/drawings/drawing6.xml" ContentType="application/vnd.openxmlformats-officedocument.drawing+xml"/>
  <Override PartName="/xl/charts/chart107.xml" ContentType="application/vnd.openxmlformats-officedocument.drawingml.chart+xml"/>
  <Override PartName="/xl/charts/style107.xml" ContentType="application/vnd.ms-office.chartstyle+xml"/>
  <Override PartName="/xl/charts/colors107.xml" ContentType="application/vnd.ms-office.chartcolorstyle+xml"/>
  <Override PartName="/xl/charts/chart108.xml" ContentType="application/vnd.openxmlformats-officedocument.drawingml.chart+xml"/>
  <Override PartName="/xl/charts/style108.xml" ContentType="application/vnd.ms-office.chartstyle+xml"/>
  <Override PartName="/xl/charts/colors108.xml" ContentType="application/vnd.ms-office.chartcolorstyle+xml"/>
  <Override PartName="/xl/charts/chart109.xml" ContentType="application/vnd.openxmlformats-officedocument.drawingml.chart+xml"/>
  <Override PartName="/xl/charts/style109.xml" ContentType="application/vnd.ms-office.chartstyle+xml"/>
  <Override PartName="/xl/charts/colors109.xml" ContentType="application/vnd.ms-office.chartcolorstyle+xml"/>
  <Override PartName="/xl/charts/chart110.xml" ContentType="application/vnd.openxmlformats-officedocument.drawingml.chart+xml"/>
  <Override PartName="/xl/charts/style110.xml" ContentType="application/vnd.ms-office.chartstyle+xml"/>
  <Override PartName="/xl/charts/colors110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61a0e03d3a08d1a/Ambiente de Trabalho/MEGE/Energy Storage/"/>
    </mc:Choice>
  </mc:AlternateContent>
  <xr:revisionPtr revIDLastSave="747" documentId="8_{08D3871F-2B9C-4451-94FB-BCB4F32E2335}" xr6:coauthVersionLast="47" xr6:coauthVersionMax="47" xr10:uidLastSave="{B009DF9F-240E-4E0B-851B-385F85A8723C}"/>
  <bookViews>
    <workbookView xWindow="-110" yWindow="-110" windowWidth="19420" windowHeight="10300" tabRatio="806" activeTab="7" xr2:uid="{00000000-000D-0000-FFFF-FFFF00000000}"/>
  </bookViews>
  <sheets>
    <sheet name="São Miguel" sheetId="2" r:id="rId1"/>
    <sheet name="% Renewable São Miguel" sheetId="10" r:id="rId2"/>
    <sheet name="Faial" sheetId="7" r:id="rId3"/>
    <sheet name="% Renewable Faial" sheetId="11" r:id="rId4"/>
    <sheet name="Flores" sheetId="8" r:id="rId5"/>
    <sheet name="% Renewable Flores" sheetId="12" r:id="rId6"/>
    <sheet name="Imports" sheetId="15" r:id="rId7"/>
    <sheet name="Batteries" sheetId="14" r:id="rId8"/>
    <sheet name="Links" sheetId="13" r:id="rId9"/>
  </sheets>
  <externalReferences>
    <externalReference r:id="rId10"/>
  </externalReferenc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J45" i="7" l="1"/>
  <c r="AM51" i="7"/>
  <c r="G11" i="15"/>
  <c r="G10" i="15"/>
  <c r="B11" i="15"/>
  <c r="D11" i="15" s="1"/>
  <c r="D10" i="15"/>
  <c r="G7" i="15"/>
  <c r="C7" i="15"/>
  <c r="B7" i="15"/>
  <c r="G6" i="15"/>
  <c r="D6" i="15"/>
  <c r="C3" i="15"/>
  <c r="B3" i="15"/>
  <c r="D3" i="15" s="1"/>
  <c r="G2" i="15"/>
  <c r="G3" i="15"/>
  <c r="D2" i="15"/>
  <c r="AN30" i="2"/>
  <c r="AO24" i="2"/>
  <c r="AO25" i="2"/>
  <c r="AO26" i="2"/>
  <c r="AO27" i="2"/>
  <c r="AO28" i="2"/>
  <c r="AO23" i="2"/>
  <c r="AK83" i="2"/>
  <c r="AK71" i="2"/>
  <c r="AK72" i="2"/>
  <c r="AK73" i="2"/>
  <c r="AK74" i="2"/>
  <c r="AK75" i="2"/>
  <c r="AK76" i="2"/>
  <c r="AK77" i="2"/>
  <c r="AK78" i="2"/>
  <c r="AK79" i="2"/>
  <c r="AK80" i="2"/>
  <c r="AK81" i="2"/>
  <c r="AK70" i="2"/>
  <c r="BJ40" i="2"/>
  <c r="D7" i="15" l="1"/>
  <c r="AM61" i="2" l="1"/>
  <c r="AN53" i="2"/>
  <c r="AN54" i="2"/>
  <c r="AN55" i="2"/>
  <c r="AN56" i="2"/>
  <c r="AN57" i="2"/>
  <c r="AN58" i="2"/>
  <c r="AN52" i="2"/>
  <c r="AH35" i="10"/>
  <c r="AG35" i="10"/>
  <c r="AF28" i="11"/>
  <c r="AH34" i="10"/>
  <c r="AG34" i="10"/>
  <c r="AD34" i="10"/>
  <c r="AG33" i="10" s="1"/>
  <c r="AJ27" i="8"/>
  <c r="AE67" i="8"/>
  <c r="AO25" i="7"/>
  <c r="AO26" i="7"/>
  <c r="AC75" i="7"/>
  <c r="W34" i="12" l="1"/>
  <c r="AC26" i="12"/>
  <c r="AA35" i="12" s="1"/>
  <c r="Y35" i="11"/>
  <c r="AM62" i="7"/>
  <c r="AM61" i="7"/>
  <c r="AM60" i="7"/>
  <c r="AM59" i="7"/>
  <c r="AM58" i="7"/>
  <c r="AM57" i="7"/>
  <c r="AM56" i="7"/>
  <c r="AM55" i="7"/>
  <c r="AM54" i="7"/>
  <c r="AM53" i="7"/>
  <c r="AM52" i="7"/>
  <c r="AC73" i="7"/>
  <c r="AC72" i="7"/>
  <c r="AC71" i="7"/>
  <c r="AC70" i="7"/>
  <c r="AC69" i="7"/>
  <c r="AC68" i="7"/>
  <c r="AC67" i="7"/>
  <c r="AC66" i="7"/>
  <c r="AC65" i="7"/>
  <c r="AC64" i="7"/>
  <c r="AC63" i="7"/>
  <c r="AC62" i="7"/>
  <c r="AC61" i="7"/>
  <c r="AC60" i="7"/>
  <c r="AC59" i="7"/>
  <c r="AC58" i="7"/>
  <c r="AC57" i="7"/>
  <c r="AC56" i="7"/>
  <c r="AC55" i="7"/>
  <c r="AC54" i="7"/>
  <c r="AC53" i="7"/>
  <c r="AC52" i="7"/>
  <c r="AC51" i="7"/>
  <c r="AB52" i="7"/>
  <c r="AB53" i="7" s="1"/>
  <c r="AB54" i="7" s="1"/>
  <c r="AB55" i="7" s="1"/>
  <c r="AB56" i="7" s="1"/>
  <c r="AB57" i="7" s="1"/>
  <c r="AB58" i="7" s="1"/>
  <c r="AB59" i="7" s="1"/>
  <c r="AB60" i="7" s="1"/>
  <c r="AB61" i="7" s="1"/>
  <c r="AB62" i="7" s="1"/>
  <c r="AB63" i="7" s="1"/>
  <c r="AB64" i="7" s="1"/>
  <c r="AB65" i="7" s="1"/>
  <c r="AB66" i="7" s="1"/>
  <c r="AB67" i="7" s="1"/>
  <c r="AB68" i="7" s="1"/>
  <c r="AB69" i="7" s="1"/>
  <c r="AB70" i="7" s="1"/>
  <c r="AB71" i="7" s="1"/>
  <c r="AB72" i="7" s="1"/>
  <c r="AB73" i="7" s="1"/>
  <c r="AJ81" i="2"/>
  <c r="AJ80" i="2"/>
  <c r="AJ79" i="2"/>
  <c r="AJ78" i="2"/>
  <c r="AJ77" i="2"/>
  <c r="AJ76" i="2"/>
  <c r="AJ75" i="2"/>
  <c r="AJ74" i="2"/>
  <c r="AJ73" i="2"/>
  <c r="AJ72" i="2"/>
  <c r="AJ71" i="2"/>
  <c r="AJ70" i="2"/>
  <c r="AQ36" i="2"/>
  <c r="AP37" i="2"/>
  <c r="AP38" i="2" s="1"/>
  <c r="AP39" i="2" s="1"/>
  <c r="AP40" i="2" s="1"/>
  <c r="AP41" i="2" s="1"/>
  <c r="AP42" i="2" s="1"/>
  <c r="AP43" i="2" s="1"/>
  <c r="AP44" i="2" s="1"/>
  <c r="AP45" i="2" s="1"/>
  <c r="AP46" i="2" s="1"/>
  <c r="AP47" i="2" s="1"/>
  <c r="AP48" i="2" s="1"/>
  <c r="AP49" i="2" s="1"/>
  <c r="AP50" i="2" s="1"/>
  <c r="AP51" i="2" s="1"/>
  <c r="AP52" i="2" s="1"/>
  <c r="AP53" i="2" s="1"/>
  <c r="AP54" i="2" s="1"/>
  <c r="AP55" i="2" s="1"/>
  <c r="AP56" i="2" s="1"/>
  <c r="AP57" i="2" s="1"/>
  <c r="AP58" i="2" s="1"/>
  <c r="AQ37" i="2"/>
  <c r="AQ38" i="2"/>
  <c r="AQ39" i="2"/>
  <c r="AQ40" i="2"/>
  <c r="AQ41" i="2"/>
  <c r="AQ42" i="2"/>
  <c r="AQ43" i="2"/>
  <c r="AQ44" i="2"/>
  <c r="AQ45" i="2"/>
  <c r="AQ46" i="2"/>
  <c r="AQ47" i="2"/>
  <c r="AQ48" i="2"/>
  <c r="AQ49" i="2"/>
  <c r="AQ50" i="2"/>
  <c r="AQ58" i="2"/>
  <c r="AQ60" i="2" s="1"/>
  <c r="AQ57" i="2"/>
  <c r="AQ56" i="2"/>
  <c r="AQ55" i="2"/>
  <c r="AQ54" i="2"/>
  <c r="AQ53" i="2"/>
  <c r="AQ52" i="2"/>
  <c r="AQ51" i="2"/>
  <c r="CE124" i="8"/>
  <c r="CH124" i="8"/>
  <c r="AN26" i="7"/>
  <c r="AN25" i="7"/>
  <c r="AN24" i="7"/>
  <c r="AN28" i="2"/>
  <c r="AN27" i="2"/>
  <c r="AN26" i="2"/>
  <c r="D23" i="2"/>
  <c r="AN25" i="2"/>
  <c r="AN24" i="2"/>
  <c r="AN23" i="2"/>
  <c r="AN23" i="7"/>
  <c r="BB92" i="10"/>
  <c r="BC92" i="10"/>
  <c r="BD92" i="10"/>
  <c r="BE92" i="10"/>
  <c r="BF92" i="10"/>
  <c r="BG92" i="10"/>
  <c r="BH92" i="10"/>
  <c r="BI92" i="10"/>
  <c r="BJ92" i="10"/>
  <c r="BA92" i="10"/>
  <c r="CO146" i="2"/>
  <c r="AG32" i="12"/>
  <c r="AG33" i="12" s="1"/>
  <c r="AK32" i="11"/>
  <c r="AD35" i="10"/>
  <c r="S31" i="10"/>
  <c r="N38" i="10"/>
  <c r="AH8" i="12"/>
  <c r="AH9" i="12"/>
  <c r="BD8" i="12" s="1"/>
  <c r="BB41" i="12" s="1"/>
  <c r="AH10" i="12"/>
  <c r="BD9" i="12" s="1"/>
  <c r="BO41" i="12" s="1"/>
  <c r="AH11" i="12"/>
  <c r="BD10" i="12" s="1"/>
  <c r="CB41" i="12" s="1"/>
  <c r="AH12" i="12"/>
  <c r="BD11" i="12" s="1"/>
  <c r="AO68" i="12" s="1"/>
  <c r="AH13" i="12"/>
  <c r="BD12" i="12" s="1"/>
  <c r="BB68" i="12" s="1"/>
  <c r="AH14" i="12"/>
  <c r="BD13" i="12" s="1"/>
  <c r="BO68" i="12" s="1"/>
  <c r="AH15" i="12"/>
  <c r="BD14" i="12" s="1"/>
  <c r="CB68" i="12" s="1"/>
  <c r="AH16" i="12"/>
  <c r="BD15" i="12" s="1"/>
  <c r="AO95" i="12" s="1"/>
  <c r="AH17" i="12"/>
  <c r="BD16" i="12" s="1"/>
  <c r="BB95" i="12" s="1"/>
  <c r="AH18" i="12"/>
  <c r="BD17" i="12" s="1"/>
  <c r="BO95" i="12" s="1"/>
  <c r="AH19" i="12"/>
  <c r="BD18" i="12" s="1"/>
  <c r="CB95" i="12" s="1"/>
  <c r="AJ19" i="11"/>
  <c r="AJ18" i="11"/>
  <c r="AJ17" i="11"/>
  <c r="AJ16" i="11"/>
  <c r="AJ15" i="11"/>
  <c r="AJ14" i="11"/>
  <c r="AJ13" i="11"/>
  <c r="AJ12" i="11"/>
  <c r="AJ11" i="11"/>
  <c r="AJ10" i="11"/>
  <c r="AJ9" i="11"/>
  <c r="AJ8" i="11"/>
  <c r="AH9" i="11"/>
  <c r="BE39" i="11" s="1"/>
  <c r="BL52" i="11" s="1"/>
  <c r="AH10" i="11"/>
  <c r="AH11" i="11"/>
  <c r="CG39" i="11" s="1"/>
  <c r="AH12" i="11"/>
  <c r="AP91" i="11" s="1"/>
  <c r="AX103" i="11" s="1"/>
  <c r="AH13" i="11"/>
  <c r="BD92" i="11" s="1"/>
  <c r="AH14" i="11"/>
  <c r="BR91" i="11" s="1"/>
  <c r="AH15" i="11"/>
  <c r="CF91" i="11" s="1"/>
  <c r="AH16" i="11"/>
  <c r="AP143" i="11" s="1"/>
  <c r="AH17" i="11"/>
  <c r="BD144" i="11" s="1"/>
  <c r="AH18" i="11"/>
  <c r="BR144" i="11" s="1"/>
  <c r="BZ155" i="11" s="1"/>
  <c r="AH19" i="11"/>
  <c r="CF144" i="11" s="1"/>
  <c r="AH8" i="11"/>
  <c r="AP39" i="11" s="1"/>
  <c r="AY52" i="11" s="1"/>
  <c r="AG9" i="10"/>
  <c r="BB31" i="10" s="1"/>
  <c r="AK10" i="10"/>
  <c r="AK11" i="10"/>
  <c r="AK12" i="10"/>
  <c r="AK13" i="10"/>
  <c r="AK14" i="10"/>
  <c r="AK15" i="10"/>
  <c r="AK16" i="10"/>
  <c r="AK17" i="10"/>
  <c r="AK18" i="10"/>
  <c r="AK19" i="10"/>
  <c r="AK9" i="10"/>
  <c r="AK8" i="10"/>
  <c r="CV78" i="2"/>
  <c r="CV79" i="2"/>
  <c r="CV81" i="2"/>
  <c r="CN81" i="2"/>
  <c r="CR81" i="2"/>
  <c r="AG10" i="10"/>
  <c r="BP31" i="10" s="1"/>
  <c r="AG11" i="10"/>
  <c r="CC35" i="10" s="1"/>
  <c r="AG12" i="10"/>
  <c r="AO79" i="10" s="1"/>
  <c r="AG13" i="10"/>
  <c r="BB78" i="10" s="1"/>
  <c r="AG14" i="10"/>
  <c r="BO72" i="10" s="1"/>
  <c r="AG15" i="10"/>
  <c r="CB75" i="10" s="1"/>
  <c r="AG16" i="10"/>
  <c r="AO133" i="10" s="1"/>
  <c r="AG17" i="10"/>
  <c r="BD134" i="10" s="1"/>
  <c r="AG18" i="10"/>
  <c r="BR132" i="10" s="1"/>
  <c r="AG19" i="10"/>
  <c r="CF134" i="10" s="1"/>
  <c r="AG8" i="10"/>
  <c r="DA111" i="7"/>
  <c r="DB111" i="7"/>
  <c r="DC111" i="7"/>
  <c r="DD111" i="7"/>
  <c r="DE111" i="7"/>
  <c r="DF111" i="7"/>
  <c r="DG111" i="7"/>
  <c r="DH111" i="7"/>
  <c r="DI111" i="7"/>
  <c r="DA107" i="7"/>
  <c r="DB107" i="7"/>
  <c r="DC107" i="7"/>
  <c r="DD107" i="7"/>
  <c r="DE107" i="7"/>
  <c r="DF107" i="7"/>
  <c r="DG107" i="7"/>
  <c r="DH107" i="7"/>
  <c r="DI107" i="7"/>
  <c r="DY137" i="8"/>
  <c r="DY135" i="8"/>
  <c r="DY134" i="8"/>
  <c r="DY133" i="8"/>
  <c r="DJ137" i="8"/>
  <c r="DJ135" i="8"/>
  <c r="DJ134" i="8"/>
  <c r="DJ133" i="8"/>
  <c r="CU137" i="8"/>
  <c r="CU135" i="8"/>
  <c r="CU134" i="8"/>
  <c r="CU133" i="8"/>
  <c r="CD137" i="8"/>
  <c r="CD135" i="8"/>
  <c r="CD134" i="8"/>
  <c r="CD133" i="8"/>
  <c r="DY91" i="8"/>
  <c r="DY89" i="8"/>
  <c r="DY88" i="8"/>
  <c r="DY87" i="8"/>
  <c r="DJ91" i="8"/>
  <c r="DJ89" i="8"/>
  <c r="DJ88" i="8"/>
  <c r="DJ87" i="8"/>
  <c r="CU91" i="8"/>
  <c r="CU89" i="8"/>
  <c r="CU88" i="8"/>
  <c r="CU87" i="8"/>
  <c r="CD91" i="8"/>
  <c r="CD89" i="8"/>
  <c r="CD88" i="8"/>
  <c r="CD87" i="8"/>
  <c r="DY39" i="8"/>
  <c r="DY37" i="8"/>
  <c r="DY36" i="8"/>
  <c r="DY35" i="8"/>
  <c r="DJ39" i="8"/>
  <c r="DJ37" i="8"/>
  <c r="DJ36" i="8"/>
  <c r="DJ35" i="8"/>
  <c r="CU39" i="8"/>
  <c r="CU37" i="8"/>
  <c r="CU36" i="8"/>
  <c r="CU35" i="8"/>
  <c r="CD39" i="8"/>
  <c r="CD37" i="8"/>
  <c r="CD36" i="8"/>
  <c r="CD35" i="8"/>
  <c r="DO170" i="7"/>
  <c r="DP170" i="7"/>
  <c r="DQ170" i="7"/>
  <c r="DR170" i="7"/>
  <c r="DS170" i="7"/>
  <c r="DT170" i="7"/>
  <c r="DU170" i="7"/>
  <c r="DV170" i="7"/>
  <c r="DW170" i="7"/>
  <c r="DO172" i="7"/>
  <c r="DP172" i="7"/>
  <c r="DQ172" i="7"/>
  <c r="DR172" i="7"/>
  <c r="DS172" i="7"/>
  <c r="DT172" i="7"/>
  <c r="DU172" i="7"/>
  <c r="DV172" i="7"/>
  <c r="DW172" i="7"/>
  <c r="DO174" i="7"/>
  <c r="DP174" i="7"/>
  <c r="DQ174" i="7"/>
  <c r="DR174" i="7"/>
  <c r="DS174" i="7"/>
  <c r="DT174" i="7"/>
  <c r="DU174" i="7"/>
  <c r="DV174" i="7"/>
  <c r="DW174" i="7"/>
  <c r="DO175" i="7"/>
  <c r="DP175" i="7"/>
  <c r="DQ175" i="7"/>
  <c r="DR175" i="7"/>
  <c r="DS175" i="7"/>
  <c r="DT175" i="7"/>
  <c r="DU175" i="7"/>
  <c r="DV175" i="7"/>
  <c r="DW175" i="7"/>
  <c r="DN175" i="7"/>
  <c r="DN174" i="7"/>
  <c r="DN172" i="7"/>
  <c r="DN170" i="7"/>
  <c r="DA170" i="7"/>
  <c r="DB170" i="7"/>
  <c r="DC170" i="7"/>
  <c r="DD170" i="7"/>
  <c r="DE170" i="7"/>
  <c r="DF170" i="7"/>
  <c r="DG170" i="7"/>
  <c r="DH170" i="7"/>
  <c r="DI170" i="7"/>
  <c r="DA172" i="7"/>
  <c r="DB172" i="7"/>
  <c r="DC172" i="7"/>
  <c r="DD172" i="7"/>
  <c r="DE172" i="7"/>
  <c r="DF172" i="7"/>
  <c r="DG172" i="7"/>
  <c r="DH172" i="7"/>
  <c r="DI172" i="7"/>
  <c r="DA174" i="7"/>
  <c r="DB174" i="7"/>
  <c r="DC174" i="7"/>
  <c r="DD174" i="7"/>
  <c r="DE174" i="7"/>
  <c r="DF174" i="7"/>
  <c r="DG174" i="7"/>
  <c r="DH174" i="7"/>
  <c r="DI174" i="7"/>
  <c r="DA175" i="7"/>
  <c r="DB175" i="7"/>
  <c r="DC175" i="7"/>
  <c r="DD175" i="7"/>
  <c r="DE175" i="7"/>
  <c r="DF175" i="7"/>
  <c r="DG175" i="7"/>
  <c r="DH175" i="7"/>
  <c r="DI175" i="7"/>
  <c r="CZ175" i="7"/>
  <c r="CZ174" i="7"/>
  <c r="CZ172" i="7"/>
  <c r="CZ170" i="7"/>
  <c r="CK170" i="7"/>
  <c r="CL170" i="7"/>
  <c r="CM170" i="7"/>
  <c r="CN170" i="7"/>
  <c r="CO170" i="7"/>
  <c r="CP170" i="7"/>
  <c r="CQ170" i="7"/>
  <c r="CR170" i="7"/>
  <c r="CS170" i="7"/>
  <c r="CK172" i="7"/>
  <c r="CL172" i="7"/>
  <c r="CM172" i="7"/>
  <c r="CN172" i="7"/>
  <c r="CO172" i="7"/>
  <c r="CP172" i="7"/>
  <c r="CQ172" i="7"/>
  <c r="CR172" i="7"/>
  <c r="CS172" i="7"/>
  <c r="CK174" i="7"/>
  <c r="CL174" i="7"/>
  <c r="CM174" i="7"/>
  <c r="CN174" i="7"/>
  <c r="CO174" i="7"/>
  <c r="CP174" i="7"/>
  <c r="CQ174" i="7"/>
  <c r="CR174" i="7"/>
  <c r="CS174" i="7"/>
  <c r="CK175" i="7"/>
  <c r="CL175" i="7"/>
  <c r="CM175" i="7"/>
  <c r="CN175" i="7"/>
  <c r="CO175" i="7"/>
  <c r="CP175" i="7"/>
  <c r="CQ175" i="7"/>
  <c r="CR175" i="7"/>
  <c r="CS175" i="7"/>
  <c r="CJ175" i="7"/>
  <c r="CJ174" i="7"/>
  <c r="CJ172" i="7"/>
  <c r="CJ170" i="7"/>
  <c r="BQ170" i="7"/>
  <c r="BR170" i="7"/>
  <c r="BS170" i="7"/>
  <c r="BT170" i="7"/>
  <c r="BU170" i="7"/>
  <c r="BV170" i="7"/>
  <c r="BW170" i="7"/>
  <c r="BX170" i="7"/>
  <c r="BY170" i="7"/>
  <c r="BQ172" i="7"/>
  <c r="BR172" i="7"/>
  <c r="BS172" i="7"/>
  <c r="BT172" i="7"/>
  <c r="BU172" i="7"/>
  <c r="BV172" i="7"/>
  <c r="BW172" i="7"/>
  <c r="BX172" i="7"/>
  <c r="BY172" i="7"/>
  <c r="BQ174" i="7"/>
  <c r="BR174" i="7"/>
  <c r="BS174" i="7"/>
  <c r="BT174" i="7"/>
  <c r="BU174" i="7"/>
  <c r="BV174" i="7"/>
  <c r="BW174" i="7"/>
  <c r="BX174" i="7"/>
  <c r="BY174" i="7"/>
  <c r="BQ175" i="7"/>
  <c r="BR175" i="7"/>
  <c r="BS175" i="7"/>
  <c r="BT175" i="7"/>
  <c r="BU175" i="7"/>
  <c r="BV175" i="7"/>
  <c r="BW175" i="7"/>
  <c r="BX175" i="7"/>
  <c r="BY175" i="7"/>
  <c r="BP175" i="7"/>
  <c r="BP174" i="7"/>
  <c r="BP172" i="7"/>
  <c r="BP170" i="7"/>
  <c r="DO107" i="7"/>
  <c r="DP107" i="7"/>
  <c r="DQ107" i="7"/>
  <c r="DR107" i="7"/>
  <c r="DS107" i="7"/>
  <c r="DT107" i="7"/>
  <c r="DU107" i="7"/>
  <c r="DV107" i="7"/>
  <c r="DW107" i="7"/>
  <c r="DO109" i="7"/>
  <c r="DP109" i="7"/>
  <c r="DQ109" i="7"/>
  <c r="DR109" i="7"/>
  <c r="DS109" i="7"/>
  <c r="DT109" i="7"/>
  <c r="DU109" i="7"/>
  <c r="DV109" i="7"/>
  <c r="DW109" i="7"/>
  <c r="DO111" i="7"/>
  <c r="DP111" i="7"/>
  <c r="DQ111" i="7"/>
  <c r="DR111" i="7"/>
  <c r="DS111" i="7"/>
  <c r="DT111" i="7"/>
  <c r="DU111" i="7"/>
  <c r="DV111" i="7"/>
  <c r="DW111" i="7"/>
  <c r="DN111" i="7"/>
  <c r="DN109" i="7"/>
  <c r="DN107" i="7"/>
  <c r="DA109" i="7"/>
  <c r="DB109" i="7"/>
  <c r="DC109" i="7"/>
  <c r="DD109" i="7"/>
  <c r="DE109" i="7"/>
  <c r="DF109" i="7"/>
  <c r="DG109" i="7"/>
  <c r="DH109" i="7"/>
  <c r="DI109" i="7"/>
  <c r="DA112" i="7"/>
  <c r="DB112" i="7"/>
  <c r="DC112" i="7"/>
  <c r="DD112" i="7"/>
  <c r="DE112" i="7"/>
  <c r="DF112" i="7"/>
  <c r="DG112" i="7"/>
  <c r="DH112" i="7"/>
  <c r="DI112" i="7"/>
  <c r="CZ112" i="7"/>
  <c r="CZ111" i="7"/>
  <c r="CZ109" i="7"/>
  <c r="CZ107" i="7"/>
  <c r="CK107" i="7"/>
  <c r="CL107" i="7"/>
  <c r="CM107" i="7"/>
  <c r="CN107" i="7"/>
  <c r="CO107" i="7"/>
  <c r="CP107" i="7"/>
  <c r="CQ107" i="7"/>
  <c r="CR107" i="7"/>
  <c r="CS107" i="7"/>
  <c r="CK109" i="7"/>
  <c r="CL109" i="7"/>
  <c r="CM109" i="7"/>
  <c r="CN109" i="7"/>
  <c r="CO109" i="7"/>
  <c r="CP109" i="7"/>
  <c r="CQ109" i="7"/>
  <c r="CR109" i="7"/>
  <c r="CS109" i="7"/>
  <c r="CK111" i="7"/>
  <c r="CL111" i="7"/>
  <c r="CM111" i="7"/>
  <c r="CN111" i="7"/>
  <c r="CO111" i="7"/>
  <c r="CP111" i="7"/>
  <c r="CQ111" i="7"/>
  <c r="CR111" i="7"/>
  <c r="CS111" i="7"/>
  <c r="CK112" i="7"/>
  <c r="CL112" i="7"/>
  <c r="CM112" i="7"/>
  <c r="CN112" i="7"/>
  <c r="CO112" i="7"/>
  <c r="CP112" i="7"/>
  <c r="CQ112" i="7"/>
  <c r="CR112" i="7"/>
  <c r="CS112" i="7"/>
  <c r="CJ112" i="7"/>
  <c r="CJ111" i="7"/>
  <c r="CJ109" i="7"/>
  <c r="CJ107" i="7"/>
  <c r="BQ107" i="7"/>
  <c r="BR107" i="7"/>
  <c r="BS107" i="7"/>
  <c r="BT107" i="7"/>
  <c r="BU107" i="7"/>
  <c r="BV107" i="7"/>
  <c r="BW107" i="7"/>
  <c r="BX107" i="7"/>
  <c r="BY107" i="7"/>
  <c r="BQ109" i="7"/>
  <c r="BR109" i="7"/>
  <c r="BS109" i="7"/>
  <c r="BT109" i="7"/>
  <c r="BU109" i="7"/>
  <c r="BV109" i="7"/>
  <c r="BW109" i="7"/>
  <c r="BX109" i="7"/>
  <c r="BY109" i="7"/>
  <c r="BQ111" i="7"/>
  <c r="BR111" i="7"/>
  <c r="BS111" i="7"/>
  <c r="BT111" i="7"/>
  <c r="BU111" i="7"/>
  <c r="BV111" i="7"/>
  <c r="BW111" i="7"/>
  <c r="BX111" i="7"/>
  <c r="BY111" i="7"/>
  <c r="BQ112" i="7"/>
  <c r="BR112" i="7"/>
  <c r="BS112" i="7"/>
  <c r="BT112" i="7"/>
  <c r="BU112" i="7"/>
  <c r="BV112" i="7"/>
  <c r="BW112" i="7"/>
  <c r="BX112" i="7"/>
  <c r="BY112" i="7"/>
  <c r="BP112" i="7"/>
  <c r="BP111" i="7"/>
  <c r="BP109" i="7"/>
  <c r="BP107" i="7"/>
  <c r="DO52" i="7"/>
  <c r="DP52" i="7"/>
  <c r="DQ52" i="7"/>
  <c r="DR52" i="7"/>
  <c r="DS52" i="7"/>
  <c r="DT52" i="7"/>
  <c r="DU52" i="7"/>
  <c r="DV52" i="7"/>
  <c r="DW52" i="7"/>
  <c r="DO54" i="7"/>
  <c r="DP54" i="7"/>
  <c r="DQ54" i="7"/>
  <c r="DR54" i="7"/>
  <c r="DS54" i="7"/>
  <c r="DT54" i="7"/>
  <c r="DU54" i="7"/>
  <c r="DV54" i="7"/>
  <c r="DW54" i="7"/>
  <c r="DO56" i="7"/>
  <c r="DP56" i="7"/>
  <c r="DQ56" i="7"/>
  <c r="DR56" i="7"/>
  <c r="DS56" i="7"/>
  <c r="DT56" i="7"/>
  <c r="DU56" i="7"/>
  <c r="DV56" i="7"/>
  <c r="DW56" i="7"/>
  <c r="DO57" i="7"/>
  <c r="DP57" i="7"/>
  <c r="DQ57" i="7"/>
  <c r="DR57" i="7"/>
  <c r="DS57" i="7"/>
  <c r="DT57" i="7"/>
  <c r="DU57" i="7"/>
  <c r="DV57" i="7"/>
  <c r="DW57" i="7"/>
  <c r="DN57" i="7"/>
  <c r="DN56" i="7"/>
  <c r="DN54" i="7"/>
  <c r="DN52" i="7"/>
  <c r="DA52" i="7"/>
  <c r="DB52" i="7"/>
  <c r="DC52" i="7"/>
  <c r="DD52" i="7"/>
  <c r="DE52" i="7"/>
  <c r="DF52" i="7"/>
  <c r="DG52" i="7"/>
  <c r="DH52" i="7"/>
  <c r="DI52" i="7"/>
  <c r="DA54" i="7"/>
  <c r="DB54" i="7"/>
  <c r="DC54" i="7"/>
  <c r="DD54" i="7"/>
  <c r="DE54" i="7"/>
  <c r="DF54" i="7"/>
  <c r="DG54" i="7"/>
  <c r="DH54" i="7"/>
  <c r="DI54" i="7"/>
  <c r="DA56" i="7"/>
  <c r="DB56" i="7"/>
  <c r="DC56" i="7"/>
  <c r="DD56" i="7"/>
  <c r="DE56" i="7"/>
  <c r="DF56" i="7"/>
  <c r="DG56" i="7"/>
  <c r="DH56" i="7"/>
  <c r="DI56" i="7"/>
  <c r="DA57" i="7"/>
  <c r="DB57" i="7"/>
  <c r="DC57" i="7"/>
  <c r="DD57" i="7"/>
  <c r="DE57" i="7"/>
  <c r="DF57" i="7"/>
  <c r="DG57" i="7"/>
  <c r="DH57" i="7"/>
  <c r="DI57" i="7"/>
  <c r="CZ57" i="7"/>
  <c r="CZ56" i="7"/>
  <c r="CZ54" i="7"/>
  <c r="CZ52" i="7"/>
  <c r="CK52" i="7"/>
  <c r="CL52" i="7"/>
  <c r="CM52" i="7"/>
  <c r="CN52" i="7"/>
  <c r="CO52" i="7"/>
  <c r="CP52" i="7"/>
  <c r="CQ52" i="7"/>
  <c r="CR52" i="7"/>
  <c r="CS52" i="7"/>
  <c r="CK54" i="7"/>
  <c r="CL54" i="7"/>
  <c r="CM54" i="7"/>
  <c r="CN54" i="7"/>
  <c r="CO54" i="7"/>
  <c r="CP54" i="7"/>
  <c r="CQ54" i="7"/>
  <c r="CR54" i="7"/>
  <c r="CS54" i="7"/>
  <c r="CK56" i="7"/>
  <c r="CL56" i="7"/>
  <c r="CM56" i="7"/>
  <c r="CN56" i="7"/>
  <c r="CO56" i="7"/>
  <c r="CP56" i="7"/>
  <c r="CQ56" i="7"/>
  <c r="CR56" i="7"/>
  <c r="CS56" i="7"/>
  <c r="CK57" i="7"/>
  <c r="CL57" i="7"/>
  <c r="CM57" i="7"/>
  <c r="CN57" i="7"/>
  <c r="CO57" i="7"/>
  <c r="CP57" i="7"/>
  <c r="CQ57" i="7"/>
  <c r="CR57" i="7"/>
  <c r="CS57" i="7"/>
  <c r="CK58" i="7"/>
  <c r="CL58" i="7"/>
  <c r="CM58" i="7"/>
  <c r="CN58" i="7"/>
  <c r="CO58" i="7"/>
  <c r="CP58" i="7"/>
  <c r="CQ58" i="7"/>
  <c r="CR58" i="7"/>
  <c r="CS58" i="7"/>
  <c r="CJ58" i="7"/>
  <c r="CJ57" i="7"/>
  <c r="CJ56" i="7"/>
  <c r="CJ54" i="7"/>
  <c r="CJ52" i="7"/>
  <c r="BQ54" i="7"/>
  <c r="BR54" i="7"/>
  <c r="BS54" i="7"/>
  <c r="BT54" i="7"/>
  <c r="BU54" i="7"/>
  <c r="BV54" i="7"/>
  <c r="BW54" i="7"/>
  <c r="BX54" i="7"/>
  <c r="BY54" i="7"/>
  <c r="BQ52" i="7"/>
  <c r="BR52" i="7"/>
  <c r="BS52" i="7"/>
  <c r="BT52" i="7"/>
  <c r="BU52" i="7"/>
  <c r="BV52" i="7"/>
  <c r="BW52" i="7"/>
  <c r="BX52" i="7"/>
  <c r="BY52" i="7"/>
  <c r="BQ56" i="7"/>
  <c r="BR56" i="7"/>
  <c r="BS56" i="7"/>
  <c r="BT56" i="7"/>
  <c r="BU56" i="7"/>
  <c r="BV56" i="7"/>
  <c r="BW56" i="7"/>
  <c r="BX56" i="7"/>
  <c r="BY56" i="7"/>
  <c r="BQ57" i="7"/>
  <c r="BR57" i="7"/>
  <c r="BS57" i="7"/>
  <c r="BT57" i="7"/>
  <c r="BU57" i="7"/>
  <c r="BV57" i="7"/>
  <c r="BW57" i="7"/>
  <c r="BX57" i="7"/>
  <c r="BY57" i="7"/>
  <c r="BQ58" i="7"/>
  <c r="BR58" i="7"/>
  <c r="BS58" i="7"/>
  <c r="BT58" i="7"/>
  <c r="BU58" i="7"/>
  <c r="BV58" i="7"/>
  <c r="BW58" i="7"/>
  <c r="BX58" i="7"/>
  <c r="BY58" i="7"/>
  <c r="BP58" i="7"/>
  <c r="BP57" i="7"/>
  <c r="BP56" i="7"/>
  <c r="BP54" i="7"/>
  <c r="BP52" i="7"/>
  <c r="DN165" i="7"/>
  <c r="CZ165" i="7"/>
  <c r="CJ165" i="7"/>
  <c r="BP164" i="7"/>
  <c r="DN101" i="7"/>
  <c r="CZ101" i="7"/>
  <c r="CJ102" i="7"/>
  <c r="BP101" i="7"/>
  <c r="DO45" i="7"/>
  <c r="DA45" i="7"/>
  <c r="CK45" i="7"/>
  <c r="BP45" i="7"/>
  <c r="DN163" i="7"/>
  <c r="CZ163" i="7"/>
  <c r="CJ163" i="7"/>
  <c r="BP162" i="7"/>
  <c r="DN99" i="7"/>
  <c r="CZ99" i="7"/>
  <c r="CJ100" i="7"/>
  <c r="BP99" i="7"/>
  <c r="DO43" i="7"/>
  <c r="DA43" i="7"/>
  <c r="CK43" i="7"/>
  <c r="BP43" i="7"/>
  <c r="DN162" i="7"/>
  <c r="DN161" i="7"/>
  <c r="CZ162" i="7"/>
  <c r="CZ161" i="7"/>
  <c r="CJ162" i="7"/>
  <c r="BP161" i="7"/>
  <c r="DN98" i="7"/>
  <c r="CZ98" i="7"/>
  <c r="CJ99" i="7"/>
  <c r="BP98" i="7"/>
  <c r="DO42" i="7"/>
  <c r="DA42" i="7"/>
  <c r="CK42" i="7"/>
  <c r="BP42" i="7"/>
  <c r="CJ161" i="7"/>
  <c r="BP160" i="7"/>
  <c r="DN97" i="7"/>
  <c r="CZ97" i="7"/>
  <c r="CJ98" i="7"/>
  <c r="BP97" i="7"/>
  <c r="DO41" i="7"/>
  <c r="DA41" i="7"/>
  <c r="CK41" i="7"/>
  <c r="BP41" i="7"/>
  <c r="EB188" i="7"/>
  <c r="EC165" i="7" s="1"/>
  <c r="ED188" i="7"/>
  <c r="EE165" i="7" s="1"/>
  <c r="DN178" i="7"/>
  <c r="DO178" i="7"/>
  <c r="DP178" i="7"/>
  <c r="DQ178" i="7"/>
  <c r="DR178" i="7"/>
  <c r="DS178" i="7"/>
  <c r="DT178" i="7"/>
  <c r="DU178" i="7"/>
  <c r="DV178" i="7"/>
  <c r="DW178" i="7"/>
  <c r="DD5" i="7"/>
  <c r="DD7" i="7"/>
  <c r="DD9" i="7"/>
  <c r="DD11" i="7"/>
  <c r="DD13" i="7"/>
  <c r="DD15" i="7"/>
  <c r="DD17" i="7"/>
  <c r="DD19" i="7"/>
  <c r="DD21" i="7"/>
  <c r="DD23" i="7"/>
  <c r="DD25" i="7"/>
  <c r="CR22" i="7"/>
  <c r="CR20" i="7"/>
  <c r="CR16" i="7"/>
  <c r="CR12" i="7"/>
  <c r="CR6" i="7"/>
  <c r="BH24" i="8"/>
  <c r="E3" i="12" s="1"/>
  <c r="F3" i="12" s="1"/>
  <c r="AI9" i="12" s="1"/>
  <c r="BB40" i="12" s="1"/>
  <c r="BI24" i="8"/>
  <c r="E4" i="12" s="1"/>
  <c r="F4" i="12" s="1"/>
  <c r="AI10" i="12" s="1"/>
  <c r="BO40" i="12" s="1"/>
  <c r="BJ24" i="8"/>
  <c r="E5" i="12" s="1"/>
  <c r="F5" i="12" s="1"/>
  <c r="AI11" i="12" s="1"/>
  <c r="CB40" i="12" s="1"/>
  <c r="BK24" i="8"/>
  <c r="E6" i="12" s="1"/>
  <c r="F6" i="12" s="1"/>
  <c r="AI12" i="12" s="1"/>
  <c r="AO67" i="12" s="1"/>
  <c r="BL24" i="8"/>
  <c r="E7" i="12" s="1"/>
  <c r="F7" i="12" s="1"/>
  <c r="AI13" i="12" s="1"/>
  <c r="BB67" i="12" s="1"/>
  <c r="BM24" i="8"/>
  <c r="E8" i="12" s="1"/>
  <c r="F8" i="12" s="1"/>
  <c r="AI14" i="12" s="1"/>
  <c r="BO67" i="12" s="1"/>
  <c r="BN24" i="8"/>
  <c r="E9" i="12" s="1"/>
  <c r="F9" i="12" s="1"/>
  <c r="AI15" i="12" s="1"/>
  <c r="CB67" i="12" s="1"/>
  <c r="BO24" i="8"/>
  <c r="E10" i="12" s="1"/>
  <c r="BP24" i="8"/>
  <c r="E11" i="12" s="1"/>
  <c r="F11" i="12" s="1"/>
  <c r="AI17" i="12" s="1"/>
  <c r="BB94" i="12" s="1"/>
  <c r="BQ24" i="8"/>
  <c r="E12" i="12" s="1"/>
  <c r="F12" i="12" s="1"/>
  <c r="AI18" i="12" s="1"/>
  <c r="BO94" i="12" s="1"/>
  <c r="BR24" i="8"/>
  <c r="E13" i="12" s="1"/>
  <c r="BG24" i="8"/>
  <c r="E2" i="12" s="1"/>
  <c r="F2" i="12" s="1"/>
  <c r="AI8" i="12" s="1"/>
  <c r="AO40" i="12" s="1"/>
  <c r="C13" i="12"/>
  <c r="AL19" i="12" s="1"/>
  <c r="C12" i="12"/>
  <c r="C11" i="12"/>
  <c r="AL17" i="12" s="1"/>
  <c r="C10" i="12"/>
  <c r="AL16" i="12" s="1"/>
  <c r="C9" i="12"/>
  <c r="C8" i="12"/>
  <c r="AL14" i="12" s="1"/>
  <c r="C7" i="12"/>
  <c r="AL13" i="12" s="1"/>
  <c r="C6" i="12"/>
  <c r="AL12" i="12" s="1"/>
  <c r="C5" i="12"/>
  <c r="AL11" i="12" s="1"/>
  <c r="C4" i="12"/>
  <c r="C3" i="12"/>
  <c r="C2" i="12"/>
  <c r="AL8" i="12" s="1"/>
  <c r="C2" i="11"/>
  <c r="F13" i="12"/>
  <c r="AI19" i="12" s="1"/>
  <c r="CB94" i="12" s="1"/>
  <c r="F10" i="12"/>
  <c r="AI16" i="12" s="1"/>
  <c r="AO94" i="12" s="1"/>
  <c r="DB25" i="8"/>
  <c r="DB23" i="8"/>
  <c r="DB21" i="8"/>
  <c r="DB19" i="8"/>
  <c r="DB17" i="8"/>
  <c r="DB15" i="8"/>
  <c r="DB13" i="8"/>
  <c r="DB11" i="8"/>
  <c r="DB9" i="8"/>
  <c r="DB7" i="8"/>
  <c r="DB5" i="8"/>
  <c r="DB3" i="8"/>
  <c r="DD3" i="7"/>
  <c r="AA36" i="12" l="1"/>
  <c r="AH42" i="10"/>
  <c r="AG34" i="12"/>
  <c r="AG42" i="10"/>
  <c r="AK33" i="11"/>
  <c r="AG41" i="10" s="1"/>
  <c r="AX37" i="10"/>
  <c r="AW45" i="10" s="1"/>
  <c r="AD36" i="10"/>
  <c r="AG40" i="10"/>
  <c r="AC38" i="11"/>
  <c r="BS39" i="11"/>
  <c r="BW52" i="11" s="1"/>
  <c r="BS38" i="11"/>
  <c r="CC105" i="12"/>
  <c r="CD105" i="12"/>
  <c r="CE105" i="12"/>
  <c r="CF105" i="12"/>
  <c r="CG105" i="12"/>
  <c r="CH105" i="12"/>
  <c r="CI105" i="12"/>
  <c r="CJ105" i="12"/>
  <c r="CK105" i="12"/>
  <c r="CB105" i="12"/>
  <c r="BP105" i="12"/>
  <c r="BQ105" i="12"/>
  <c r="BR105" i="12"/>
  <c r="BS105" i="12"/>
  <c r="BT105" i="12"/>
  <c r="BU105" i="12"/>
  <c r="BV105" i="12"/>
  <c r="BW105" i="12"/>
  <c r="BX105" i="12"/>
  <c r="BO105" i="12"/>
  <c r="BC105" i="12"/>
  <c r="BD105" i="12"/>
  <c r="BE105" i="12"/>
  <c r="BF105" i="12"/>
  <c r="BG105" i="12"/>
  <c r="BH105" i="12"/>
  <c r="BI105" i="12"/>
  <c r="BJ105" i="12"/>
  <c r="BK105" i="12"/>
  <c r="BB105" i="12"/>
  <c r="AP105" i="12"/>
  <c r="AQ105" i="12"/>
  <c r="AR105" i="12"/>
  <c r="AS105" i="12"/>
  <c r="AT105" i="12"/>
  <c r="AU105" i="12"/>
  <c r="AV105" i="12"/>
  <c r="AW105" i="12"/>
  <c r="AX105" i="12"/>
  <c r="AO105" i="12"/>
  <c r="CC78" i="12"/>
  <c r="CD78" i="12"/>
  <c r="CE78" i="12"/>
  <c r="CF78" i="12"/>
  <c r="CG78" i="12"/>
  <c r="CH78" i="12"/>
  <c r="CI78" i="12"/>
  <c r="CJ78" i="12"/>
  <c r="CK78" i="12"/>
  <c r="CB78" i="12"/>
  <c r="BP78" i="12"/>
  <c r="BQ78" i="12"/>
  <c r="BR78" i="12"/>
  <c r="BS78" i="12"/>
  <c r="BT78" i="12"/>
  <c r="BU78" i="12"/>
  <c r="BV78" i="12"/>
  <c r="BW78" i="12"/>
  <c r="BX78" i="12"/>
  <c r="BO78" i="12"/>
  <c r="BC78" i="12"/>
  <c r="BD78" i="12"/>
  <c r="BE78" i="12"/>
  <c r="BF78" i="12"/>
  <c r="BG78" i="12"/>
  <c r="BH78" i="12"/>
  <c r="BI78" i="12"/>
  <c r="BJ78" i="12"/>
  <c r="BK78" i="12"/>
  <c r="BB78" i="12"/>
  <c r="AP78" i="12"/>
  <c r="AQ78" i="12"/>
  <c r="AR78" i="12"/>
  <c r="AS78" i="12"/>
  <c r="AT78" i="12"/>
  <c r="AU78" i="12"/>
  <c r="AV78" i="12"/>
  <c r="AW78" i="12"/>
  <c r="AX78" i="12"/>
  <c r="AO78" i="12"/>
  <c r="CC51" i="12"/>
  <c r="CD51" i="12"/>
  <c r="CE51" i="12"/>
  <c r="CF51" i="12"/>
  <c r="CG51" i="12"/>
  <c r="CG55" i="12" s="1"/>
  <c r="CG56" i="12" s="1"/>
  <c r="CH51" i="12"/>
  <c r="CI51" i="12"/>
  <c r="CJ51" i="12"/>
  <c r="CK51" i="12"/>
  <c r="CB51" i="12"/>
  <c r="BP51" i="12"/>
  <c r="BQ51" i="12"/>
  <c r="BR51" i="12"/>
  <c r="BS51" i="12"/>
  <c r="BT51" i="12"/>
  <c r="BU51" i="12"/>
  <c r="BV51" i="12"/>
  <c r="BW51" i="12"/>
  <c r="BX51" i="12"/>
  <c r="BO51" i="12"/>
  <c r="BC51" i="12"/>
  <c r="BD51" i="12"/>
  <c r="BE51" i="12"/>
  <c r="BF51" i="12"/>
  <c r="BG51" i="12"/>
  <c r="BH51" i="12"/>
  <c r="BI51" i="12"/>
  <c r="BJ51" i="12"/>
  <c r="BK51" i="12"/>
  <c r="BB51" i="12"/>
  <c r="BD7" i="12"/>
  <c r="AO41" i="12"/>
  <c r="CS153" i="2"/>
  <c r="CR153" i="2"/>
  <c r="CQ4" i="8"/>
  <c r="CR4" i="8"/>
  <c r="CS4" i="8"/>
  <c r="CT4" i="8"/>
  <c r="CU4" i="8"/>
  <c r="CV4" i="8"/>
  <c r="CW4" i="8"/>
  <c r="CX4" i="8"/>
  <c r="CY4" i="8"/>
  <c r="CP4" i="8"/>
  <c r="CQ6" i="8"/>
  <c r="CR6" i="8"/>
  <c r="CS6" i="8"/>
  <c r="CT6" i="8"/>
  <c r="CU6" i="8"/>
  <c r="CV6" i="8"/>
  <c r="CW6" i="8"/>
  <c r="CX6" i="8"/>
  <c r="CY6" i="8"/>
  <c r="CP6" i="8"/>
  <c r="CQ8" i="8"/>
  <c r="CR8" i="8"/>
  <c r="CS8" i="8"/>
  <c r="CT8" i="8"/>
  <c r="CU8" i="8"/>
  <c r="CV8" i="8"/>
  <c r="CW8" i="8"/>
  <c r="CX8" i="8"/>
  <c r="CY8" i="8"/>
  <c r="CP8" i="8"/>
  <c r="CQ10" i="8"/>
  <c r="CR10" i="8"/>
  <c r="CS10" i="8"/>
  <c r="CT10" i="8"/>
  <c r="CU10" i="8"/>
  <c r="CV10" i="8"/>
  <c r="CW10" i="8"/>
  <c r="CX10" i="8"/>
  <c r="CY10" i="8"/>
  <c r="CP10" i="8"/>
  <c r="CQ12" i="8"/>
  <c r="CR12" i="8"/>
  <c r="CS12" i="8"/>
  <c r="CT12" i="8"/>
  <c r="CU12" i="8"/>
  <c r="CV12" i="8"/>
  <c r="CW12" i="8"/>
  <c r="CX12" i="8"/>
  <c r="CY12" i="8"/>
  <c r="CP12" i="8"/>
  <c r="CQ14" i="8"/>
  <c r="CR14" i="8"/>
  <c r="CS14" i="8"/>
  <c r="CT14" i="8"/>
  <c r="CU14" i="8"/>
  <c r="CV14" i="8"/>
  <c r="CW14" i="8"/>
  <c r="CX14" i="8"/>
  <c r="CY14" i="8"/>
  <c r="CP14" i="8"/>
  <c r="CQ16" i="8"/>
  <c r="CR16" i="8"/>
  <c r="CS16" i="8"/>
  <c r="CT16" i="8"/>
  <c r="CU16" i="8"/>
  <c r="CV16" i="8"/>
  <c r="CW16" i="8"/>
  <c r="CX16" i="8"/>
  <c r="CY16" i="8"/>
  <c r="CP16" i="8"/>
  <c r="CQ18" i="8"/>
  <c r="CR18" i="8"/>
  <c r="CS18" i="8"/>
  <c r="CT18" i="8"/>
  <c r="CU18" i="8"/>
  <c r="CV18" i="8"/>
  <c r="CW18" i="8"/>
  <c r="CX18" i="8"/>
  <c r="CY18" i="8"/>
  <c r="CP18" i="8"/>
  <c r="CQ20" i="8"/>
  <c r="CR20" i="8"/>
  <c r="CS20" i="8"/>
  <c r="CT20" i="8"/>
  <c r="CU20" i="8"/>
  <c r="CV20" i="8"/>
  <c r="CW20" i="8"/>
  <c r="CX20" i="8"/>
  <c r="CY20" i="8"/>
  <c r="CP20" i="8"/>
  <c r="CQ22" i="8"/>
  <c r="CR22" i="8"/>
  <c r="CS22" i="8"/>
  <c r="CT22" i="8"/>
  <c r="CU22" i="8"/>
  <c r="CV22" i="8"/>
  <c r="CW22" i="8"/>
  <c r="CX22" i="8"/>
  <c r="CY22" i="8"/>
  <c r="CP22" i="8"/>
  <c r="CQ24" i="8"/>
  <c r="CR24" i="8"/>
  <c r="CS24" i="8"/>
  <c r="CT24" i="8"/>
  <c r="CU24" i="8"/>
  <c r="CV24" i="8"/>
  <c r="CW24" i="8"/>
  <c r="CX24" i="8"/>
  <c r="CY24" i="8"/>
  <c r="CP24" i="8"/>
  <c r="CQ26" i="8"/>
  <c r="CR26" i="8"/>
  <c r="CS26" i="8"/>
  <c r="CT26" i="8"/>
  <c r="CU26" i="8"/>
  <c r="CV26" i="8"/>
  <c r="CW26" i="8"/>
  <c r="CX26" i="8"/>
  <c r="CY26" i="8"/>
  <c r="CP26" i="8"/>
  <c r="CC49" i="12"/>
  <c r="CD49" i="12"/>
  <c r="CD55" i="12" s="1"/>
  <c r="CD56" i="12" s="1"/>
  <c r="CE49" i="12"/>
  <c r="CE55" i="12" s="1"/>
  <c r="CE56" i="12" s="1"/>
  <c r="CF49" i="12"/>
  <c r="CG49" i="12"/>
  <c r="CH49" i="12"/>
  <c r="CH55" i="12" s="1"/>
  <c r="CH56" i="12" s="1"/>
  <c r="CI49" i="12"/>
  <c r="CI55" i="12" s="1"/>
  <c r="CI56" i="12" s="1"/>
  <c r="CJ49" i="12"/>
  <c r="CJ55" i="12" s="1"/>
  <c r="CJ56" i="12" s="1"/>
  <c r="CK49" i="12"/>
  <c r="CB49" i="12"/>
  <c r="CB55" i="12" s="1"/>
  <c r="CB56" i="12" s="1"/>
  <c r="AP103" i="12"/>
  <c r="AP109" i="12" s="1"/>
  <c r="AP110" i="12" s="1"/>
  <c r="AQ103" i="12"/>
  <c r="AQ109" i="12" s="1"/>
  <c r="AQ110" i="12" s="1"/>
  <c r="AR103" i="12"/>
  <c r="AR109" i="12" s="1"/>
  <c r="AR110" i="12" s="1"/>
  <c r="AS103" i="12"/>
  <c r="AS109" i="12" s="1"/>
  <c r="AS110" i="12" s="1"/>
  <c r="AT103" i="12"/>
  <c r="AT109" i="12" s="1"/>
  <c r="AT110" i="12" s="1"/>
  <c r="AU103" i="12"/>
  <c r="AV103" i="12"/>
  <c r="AW103" i="12"/>
  <c r="AW109" i="12" s="1"/>
  <c r="AW110" i="12" s="1"/>
  <c r="AX103" i="12"/>
  <c r="AX109" i="12" s="1"/>
  <c r="AX110" i="12" s="1"/>
  <c r="AO103" i="12"/>
  <c r="AO109" i="12" s="1"/>
  <c r="AO110" i="12" s="1"/>
  <c r="BP103" i="12"/>
  <c r="BP109" i="12" s="1"/>
  <c r="BP110" i="12" s="1"/>
  <c r="BQ103" i="12"/>
  <c r="BR103" i="12"/>
  <c r="BS103" i="12"/>
  <c r="BS109" i="12" s="1"/>
  <c r="BS110" i="12" s="1"/>
  <c r="BT103" i="12"/>
  <c r="BU103" i="12"/>
  <c r="BU109" i="12" s="1"/>
  <c r="BU110" i="12" s="1"/>
  <c r="BV103" i="12"/>
  <c r="BV109" i="12" s="1"/>
  <c r="BV110" i="12" s="1"/>
  <c r="BW103" i="12"/>
  <c r="BW109" i="12" s="1"/>
  <c r="BW110" i="12" s="1"/>
  <c r="BX103" i="12"/>
  <c r="BX109" i="12" s="1"/>
  <c r="BX110" i="12" s="1"/>
  <c r="BO103" i="12"/>
  <c r="CC103" i="12"/>
  <c r="CD103" i="12"/>
  <c r="CD109" i="12" s="1"/>
  <c r="CD110" i="12" s="1"/>
  <c r="CE103" i="12"/>
  <c r="CE109" i="12" s="1"/>
  <c r="CE110" i="12" s="1"/>
  <c r="CF103" i="12"/>
  <c r="CF109" i="12" s="1"/>
  <c r="CF110" i="12" s="1"/>
  <c r="CG103" i="12"/>
  <c r="CG109" i="12" s="1"/>
  <c r="CG110" i="12" s="1"/>
  <c r="CH103" i="12"/>
  <c r="CH109" i="12" s="1"/>
  <c r="CH110" i="12" s="1"/>
  <c r="CI103" i="12"/>
  <c r="CI109" i="12" s="1"/>
  <c r="CI110" i="12" s="1"/>
  <c r="CJ103" i="12"/>
  <c r="CJ109" i="12" s="1"/>
  <c r="CJ110" i="12" s="1"/>
  <c r="CK103" i="12"/>
  <c r="CB103" i="12"/>
  <c r="AL9" i="12"/>
  <c r="AL10" i="12"/>
  <c r="AL15" i="12"/>
  <c r="AL18" i="12"/>
  <c r="AP49" i="12"/>
  <c r="AQ49" i="12"/>
  <c r="AR49" i="12"/>
  <c r="AS49" i="12"/>
  <c r="AT49" i="12"/>
  <c r="AU49" i="12"/>
  <c r="AV49" i="12"/>
  <c r="AW49" i="12"/>
  <c r="AX49" i="12"/>
  <c r="AO49" i="12"/>
  <c r="BC103" i="12"/>
  <c r="BD103" i="12"/>
  <c r="BD109" i="12" s="1"/>
  <c r="BD110" i="12" s="1"/>
  <c r="BE103" i="12"/>
  <c r="BF103" i="12"/>
  <c r="BF109" i="12" s="1"/>
  <c r="BF110" i="12" s="1"/>
  <c r="BG103" i="12"/>
  <c r="BG109" i="12" s="1"/>
  <c r="BG110" i="12" s="1"/>
  <c r="BH103" i="12"/>
  <c r="BH109" i="12" s="1"/>
  <c r="BH110" i="12" s="1"/>
  <c r="BI103" i="12"/>
  <c r="BI109" i="12" s="1"/>
  <c r="BI110" i="12" s="1"/>
  <c r="BJ103" i="12"/>
  <c r="BK103" i="12"/>
  <c r="BB103" i="12"/>
  <c r="BB109" i="12" s="1"/>
  <c r="BB110" i="12" s="1"/>
  <c r="CC76" i="12"/>
  <c r="CC82" i="12" s="1"/>
  <c r="CC83" i="12" s="1"/>
  <c r="CD76" i="12"/>
  <c r="CD82" i="12" s="1"/>
  <c r="CD83" i="12" s="1"/>
  <c r="CE76" i="12"/>
  <c r="CE82" i="12" s="1"/>
  <c r="CE83" i="12" s="1"/>
  <c r="CF76" i="12"/>
  <c r="CG76" i="12"/>
  <c r="CH76" i="12"/>
  <c r="CH82" i="12" s="1"/>
  <c r="CH83" i="12" s="1"/>
  <c r="CI76" i="12"/>
  <c r="CI82" i="12" s="1"/>
  <c r="CI83" i="12" s="1"/>
  <c r="CJ76" i="12"/>
  <c r="CK76" i="12"/>
  <c r="CK82" i="12" s="1"/>
  <c r="CK83" i="12" s="1"/>
  <c r="CB76" i="12"/>
  <c r="CB82" i="12" s="1"/>
  <c r="CB83" i="12" s="1"/>
  <c r="BP76" i="12"/>
  <c r="BP82" i="12" s="1"/>
  <c r="BP83" i="12" s="1"/>
  <c r="BQ76" i="12"/>
  <c r="BR76" i="12"/>
  <c r="BS76" i="12"/>
  <c r="BS82" i="12" s="1"/>
  <c r="BS83" i="12" s="1"/>
  <c r="BT76" i="12"/>
  <c r="BT82" i="12" s="1"/>
  <c r="BT83" i="12" s="1"/>
  <c r="BU76" i="12"/>
  <c r="BU82" i="12" s="1"/>
  <c r="BU83" i="12" s="1"/>
  <c r="BV76" i="12"/>
  <c r="BV82" i="12" s="1"/>
  <c r="BV83" i="12" s="1"/>
  <c r="BW76" i="12"/>
  <c r="BW82" i="12" s="1"/>
  <c r="BW83" i="12" s="1"/>
  <c r="BX76" i="12"/>
  <c r="BX82" i="12" s="1"/>
  <c r="BX83" i="12" s="1"/>
  <c r="BO76" i="12"/>
  <c r="BC76" i="12"/>
  <c r="BD76" i="12"/>
  <c r="BD82" i="12" s="1"/>
  <c r="BD83" i="12" s="1"/>
  <c r="BE76" i="12"/>
  <c r="BE82" i="12" s="1"/>
  <c r="BE83" i="12" s="1"/>
  <c r="BF76" i="12"/>
  <c r="BF82" i="12" s="1"/>
  <c r="BF83" i="12" s="1"/>
  <c r="BG76" i="12"/>
  <c r="BG82" i="12" s="1"/>
  <c r="BG83" i="12" s="1"/>
  <c r="BH76" i="12"/>
  <c r="BH82" i="12" s="1"/>
  <c r="BH83" i="12" s="1"/>
  <c r="BI76" i="12"/>
  <c r="BI82" i="12" s="1"/>
  <c r="BI83" i="12" s="1"/>
  <c r="BJ76" i="12"/>
  <c r="BK76" i="12"/>
  <c r="BB76" i="12"/>
  <c r="BB82" i="12" s="1"/>
  <c r="BB83" i="12" s="1"/>
  <c r="AP76" i="12"/>
  <c r="AP82" i="12" s="1"/>
  <c r="AP83" i="12" s="1"/>
  <c r="AQ76" i="12"/>
  <c r="AQ82" i="12" s="1"/>
  <c r="AQ83" i="12" s="1"/>
  <c r="AR76" i="12"/>
  <c r="AR82" i="12" s="1"/>
  <c r="AR83" i="12" s="1"/>
  <c r="AS76" i="12"/>
  <c r="AS82" i="12" s="1"/>
  <c r="AS83" i="12" s="1"/>
  <c r="AT76" i="12"/>
  <c r="AT82" i="12" s="1"/>
  <c r="AT83" i="12" s="1"/>
  <c r="AU76" i="12"/>
  <c r="AV76" i="12"/>
  <c r="AW76" i="12"/>
  <c r="AW82" i="12" s="1"/>
  <c r="AW83" i="12" s="1"/>
  <c r="AX76" i="12"/>
  <c r="AX82" i="12" s="1"/>
  <c r="AX83" i="12" s="1"/>
  <c r="AO76" i="12"/>
  <c r="AO82" i="12" s="1"/>
  <c r="AO83" i="12" s="1"/>
  <c r="BP49" i="12"/>
  <c r="BQ49" i="12"/>
  <c r="BQ55" i="12" s="1"/>
  <c r="BQ56" i="12" s="1"/>
  <c r="BR49" i="12"/>
  <c r="BR55" i="12" s="1"/>
  <c r="BR56" i="12" s="1"/>
  <c r="BS49" i="12"/>
  <c r="BS55" i="12" s="1"/>
  <c r="BS56" i="12" s="1"/>
  <c r="BT49" i="12"/>
  <c r="BT55" i="12" s="1"/>
  <c r="BT56" i="12" s="1"/>
  <c r="BU49" i="12"/>
  <c r="BU55" i="12" s="1"/>
  <c r="BU56" i="12" s="1"/>
  <c r="BV49" i="12"/>
  <c r="BV55" i="12" s="1"/>
  <c r="BV56" i="12" s="1"/>
  <c r="BW49" i="12"/>
  <c r="BX49" i="12"/>
  <c r="BO49" i="12"/>
  <c r="BO55" i="12" s="1"/>
  <c r="BO56" i="12" s="1"/>
  <c r="BC49" i="12"/>
  <c r="BC55" i="12" s="1"/>
  <c r="BC56" i="12" s="1"/>
  <c r="BD49" i="12"/>
  <c r="BD55" i="12" s="1"/>
  <c r="BD56" i="12" s="1"/>
  <c r="BE49" i="12"/>
  <c r="BE55" i="12" s="1"/>
  <c r="BE56" i="12" s="1"/>
  <c r="BF49" i="12"/>
  <c r="BF55" i="12" s="1"/>
  <c r="BF56" i="12" s="1"/>
  <c r="BG49" i="12"/>
  <c r="BG55" i="12" s="1"/>
  <c r="BG56" i="12" s="1"/>
  <c r="BH49" i="12"/>
  <c r="BH55" i="12" s="1"/>
  <c r="BH56" i="12" s="1"/>
  <c r="BI49" i="12"/>
  <c r="BI55" i="12" s="1"/>
  <c r="BI56" i="12" s="1"/>
  <c r="BJ49" i="12"/>
  <c r="BJ55" i="12" s="1"/>
  <c r="BJ56" i="12" s="1"/>
  <c r="BK49" i="12"/>
  <c r="BK55" i="12" s="1"/>
  <c r="BK56" i="12" s="1"/>
  <c r="BB49" i="12"/>
  <c r="CE43" i="8"/>
  <c r="CF43" i="8"/>
  <c r="CG43" i="8"/>
  <c r="CH43" i="8"/>
  <c r="CI43" i="8"/>
  <c r="CJ43" i="8"/>
  <c r="CK43" i="8"/>
  <c r="CL43" i="8"/>
  <c r="CM43" i="8"/>
  <c r="CD43" i="8"/>
  <c r="CE45" i="8"/>
  <c r="CF45" i="8"/>
  <c r="CG45" i="8"/>
  <c r="CH45" i="8"/>
  <c r="CI45" i="8"/>
  <c r="CJ45" i="8"/>
  <c r="CK45" i="8"/>
  <c r="CL45" i="8"/>
  <c r="CM45" i="8"/>
  <c r="CD45" i="8"/>
  <c r="CE47" i="8"/>
  <c r="CF47" i="8"/>
  <c r="CG47" i="8"/>
  <c r="CH47" i="8"/>
  <c r="CI47" i="8"/>
  <c r="CJ47" i="8"/>
  <c r="CK47" i="8"/>
  <c r="CL47" i="8"/>
  <c r="CM47" i="8"/>
  <c r="CD47" i="8"/>
  <c r="CE48" i="8"/>
  <c r="CF48" i="8"/>
  <c r="CG48" i="8"/>
  <c r="CH48" i="8"/>
  <c r="CI48" i="8"/>
  <c r="CJ48" i="8"/>
  <c r="CK48" i="8"/>
  <c r="CL48" i="8"/>
  <c r="CM48" i="8"/>
  <c r="CD48" i="8"/>
  <c r="CV43" i="8"/>
  <c r="CW43" i="8"/>
  <c r="CX43" i="8"/>
  <c r="CY43" i="8"/>
  <c r="CZ43" i="8"/>
  <c r="DA43" i="8"/>
  <c r="DB43" i="8"/>
  <c r="DC43" i="8"/>
  <c r="DD43" i="8"/>
  <c r="CU43" i="8"/>
  <c r="CV45" i="8"/>
  <c r="CW45" i="8"/>
  <c r="CX45" i="8"/>
  <c r="CY45" i="8"/>
  <c r="CZ45" i="8"/>
  <c r="DA45" i="8"/>
  <c r="DB45" i="8"/>
  <c r="DC45" i="8"/>
  <c r="DD45" i="8"/>
  <c r="CU45" i="8"/>
  <c r="CV47" i="8"/>
  <c r="CW47" i="8"/>
  <c r="CX47" i="8"/>
  <c r="CY47" i="8"/>
  <c r="CZ47" i="8"/>
  <c r="DA47" i="8"/>
  <c r="DB47" i="8"/>
  <c r="DC47" i="8"/>
  <c r="DD47" i="8"/>
  <c r="CU47" i="8"/>
  <c r="CV48" i="8"/>
  <c r="CW48" i="8"/>
  <c r="CX48" i="8"/>
  <c r="CY48" i="8"/>
  <c r="CZ48" i="8"/>
  <c r="DA48" i="8"/>
  <c r="DB48" i="8"/>
  <c r="DC48" i="8"/>
  <c r="DD48" i="8"/>
  <c r="CU48" i="8"/>
  <c r="DK43" i="8"/>
  <c r="DL43" i="8"/>
  <c r="DM43" i="8"/>
  <c r="DN43" i="8"/>
  <c r="DO43" i="8"/>
  <c r="DP43" i="8"/>
  <c r="DQ43" i="8"/>
  <c r="DR43" i="8"/>
  <c r="DS43" i="8"/>
  <c r="DJ43" i="8"/>
  <c r="DK45" i="8"/>
  <c r="DL45" i="8"/>
  <c r="DM45" i="8"/>
  <c r="DN45" i="8"/>
  <c r="DO45" i="8"/>
  <c r="DP45" i="8"/>
  <c r="DQ45" i="8"/>
  <c r="DR45" i="8"/>
  <c r="DS45" i="8"/>
  <c r="DJ45" i="8"/>
  <c r="DK47" i="8"/>
  <c r="DL47" i="8"/>
  <c r="DM47" i="8"/>
  <c r="DN47" i="8"/>
  <c r="DO47" i="8"/>
  <c r="DP47" i="8"/>
  <c r="DQ47" i="8"/>
  <c r="DR47" i="8"/>
  <c r="DS47" i="8"/>
  <c r="DJ47" i="8"/>
  <c r="DK48" i="8"/>
  <c r="DL48" i="8"/>
  <c r="DM48" i="8"/>
  <c r="DN48" i="8"/>
  <c r="DO48" i="8"/>
  <c r="DP48" i="8"/>
  <c r="DQ48" i="8"/>
  <c r="DR48" i="8"/>
  <c r="DS48" i="8"/>
  <c r="DJ48" i="8"/>
  <c r="DZ43" i="8"/>
  <c r="EA43" i="8"/>
  <c r="EB43" i="8"/>
  <c r="EC43" i="8"/>
  <c r="ED43" i="8"/>
  <c r="EE43" i="8"/>
  <c r="EF43" i="8"/>
  <c r="EG43" i="8"/>
  <c r="EH43" i="8"/>
  <c r="DY43" i="8"/>
  <c r="DZ45" i="8"/>
  <c r="EA45" i="8"/>
  <c r="EB45" i="8"/>
  <c r="EC45" i="8"/>
  <c r="ED45" i="8"/>
  <c r="EE45" i="8"/>
  <c r="EF45" i="8"/>
  <c r="EG45" i="8"/>
  <c r="EH45" i="8"/>
  <c r="DY45" i="8"/>
  <c r="DZ47" i="8"/>
  <c r="EA47" i="8"/>
  <c r="EB47" i="8"/>
  <c r="EC47" i="8"/>
  <c r="ED47" i="8"/>
  <c r="EE47" i="8"/>
  <c r="EF47" i="8"/>
  <c r="EG47" i="8"/>
  <c r="EH47" i="8"/>
  <c r="DY47" i="8"/>
  <c r="DZ48" i="8"/>
  <c r="EA48" i="8"/>
  <c r="EB48" i="8"/>
  <c r="EC48" i="8"/>
  <c r="ED48" i="8"/>
  <c r="EE48" i="8"/>
  <c r="EF48" i="8"/>
  <c r="EG48" i="8"/>
  <c r="EH48" i="8"/>
  <c r="DY48" i="8"/>
  <c r="CE95" i="8"/>
  <c r="CF95" i="8"/>
  <c r="CG95" i="8"/>
  <c r="CH95" i="8"/>
  <c r="CI95" i="8"/>
  <c r="CJ95" i="8"/>
  <c r="CK95" i="8"/>
  <c r="CL95" i="8"/>
  <c r="CM95" i="8"/>
  <c r="CD95" i="8"/>
  <c r="CE97" i="8"/>
  <c r="CF97" i="8"/>
  <c r="CG97" i="8"/>
  <c r="CH97" i="8"/>
  <c r="CI97" i="8"/>
  <c r="CJ97" i="8"/>
  <c r="CK97" i="8"/>
  <c r="CL97" i="8"/>
  <c r="CM97" i="8"/>
  <c r="CD97" i="8"/>
  <c r="CE99" i="8"/>
  <c r="CF99" i="8"/>
  <c r="CG99" i="8"/>
  <c r="CH99" i="8"/>
  <c r="CI99" i="8"/>
  <c r="CJ99" i="8"/>
  <c r="CK99" i="8"/>
  <c r="CL99" i="8"/>
  <c r="CM99" i="8"/>
  <c r="CD99" i="8"/>
  <c r="CE100" i="8"/>
  <c r="CF100" i="8"/>
  <c r="CG100" i="8"/>
  <c r="CH100" i="8"/>
  <c r="CI100" i="8"/>
  <c r="CJ100" i="8"/>
  <c r="CK100" i="8"/>
  <c r="CL100" i="8"/>
  <c r="CM100" i="8"/>
  <c r="CD100" i="8"/>
  <c r="CV95" i="8"/>
  <c r="CW95" i="8"/>
  <c r="CX95" i="8"/>
  <c r="CY95" i="8"/>
  <c r="CZ95" i="8"/>
  <c r="DA95" i="8"/>
  <c r="DB95" i="8"/>
  <c r="DC95" i="8"/>
  <c r="DD95" i="8"/>
  <c r="CU95" i="8"/>
  <c r="CV97" i="8"/>
  <c r="CW97" i="8"/>
  <c r="CX97" i="8"/>
  <c r="CY97" i="8"/>
  <c r="CZ97" i="8"/>
  <c r="DA97" i="8"/>
  <c r="DB97" i="8"/>
  <c r="DC97" i="8"/>
  <c r="DD97" i="8"/>
  <c r="CU97" i="8"/>
  <c r="CV99" i="8"/>
  <c r="CW99" i="8"/>
  <c r="CX99" i="8"/>
  <c r="CY99" i="8"/>
  <c r="CZ99" i="8"/>
  <c r="DA99" i="8"/>
  <c r="DB99" i="8"/>
  <c r="DC99" i="8"/>
  <c r="DD99" i="8"/>
  <c r="CU99" i="8"/>
  <c r="CV100" i="8"/>
  <c r="CW100" i="8"/>
  <c r="CX100" i="8"/>
  <c r="CY100" i="8"/>
  <c r="CZ100" i="8"/>
  <c r="DA100" i="8"/>
  <c r="DB100" i="8"/>
  <c r="DC100" i="8"/>
  <c r="DD100" i="8"/>
  <c r="CU100" i="8"/>
  <c r="DK95" i="8"/>
  <c r="DL95" i="8"/>
  <c r="DM95" i="8"/>
  <c r="DN95" i="8"/>
  <c r="DO95" i="8"/>
  <c r="DP95" i="8"/>
  <c r="DQ95" i="8"/>
  <c r="DR95" i="8"/>
  <c r="DS95" i="8"/>
  <c r="DJ95" i="8"/>
  <c r="DK97" i="8"/>
  <c r="DL97" i="8"/>
  <c r="DM97" i="8"/>
  <c r="DN97" i="8"/>
  <c r="DO97" i="8"/>
  <c r="DP97" i="8"/>
  <c r="DQ97" i="8"/>
  <c r="DR97" i="8"/>
  <c r="DS97" i="8"/>
  <c r="DJ97" i="8"/>
  <c r="DK99" i="8"/>
  <c r="DL99" i="8"/>
  <c r="DM99" i="8"/>
  <c r="DN99" i="8"/>
  <c r="DO99" i="8"/>
  <c r="DP99" i="8"/>
  <c r="DQ99" i="8"/>
  <c r="DR99" i="8"/>
  <c r="DS99" i="8"/>
  <c r="DJ99" i="8"/>
  <c r="DK100" i="8"/>
  <c r="DL100" i="8"/>
  <c r="DM100" i="8"/>
  <c r="DN100" i="8"/>
  <c r="DO100" i="8"/>
  <c r="DP100" i="8"/>
  <c r="DQ100" i="8"/>
  <c r="DR100" i="8"/>
  <c r="DS100" i="8"/>
  <c r="DJ100" i="8"/>
  <c r="DZ95" i="8"/>
  <c r="EA95" i="8"/>
  <c r="EB95" i="8"/>
  <c r="EC95" i="8"/>
  <c r="ED95" i="8"/>
  <c r="EE95" i="8"/>
  <c r="EF95" i="8"/>
  <c r="EG95" i="8"/>
  <c r="EH95" i="8"/>
  <c r="DY95" i="8"/>
  <c r="DZ97" i="8"/>
  <c r="EA97" i="8"/>
  <c r="EB97" i="8"/>
  <c r="EC97" i="8"/>
  <c r="ED97" i="8"/>
  <c r="EE97" i="8"/>
  <c r="EF97" i="8"/>
  <c r="EG97" i="8"/>
  <c r="EH97" i="8"/>
  <c r="DY97" i="8"/>
  <c r="DZ99" i="8"/>
  <c r="EA99" i="8"/>
  <c r="EB99" i="8"/>
  <c r="EC99" i="8"/>
  <c r="ED99" i="8"/>
  <c r="EE99" i="8"/>
  <c r="EF99" i="8"/>
  <c r="EG99" i="8"/>
  <c r="EH99" i="8"/>
  <c r="DY99" i="8"/>
  <c r="DZ100" i="8"/>
  <c r="EA100" i="8"/>
  <c r="EB100" i="8"/>
  <c r="EC100" i="8"/>
  <c r="ED100" i="8"/>
  <c r="EE100" i="8"/>
  <c r="EF100" i="8"/>
  <c r="EG100" i="8"/>
  <c r="EH100" i="8"/>
  <c r="DY100" i="8"/>
  <c r="CE141" i="8"/>
  <c r="CF141" i="8"/>
  <c r="CG141" i="8"/>
  <c r="CH141" i="8"/>
  <c r="CI141" i="8"/>
  <c r="CJ141" i="8"/>
  <c r="CK141" i="8"/>
  <c r="CL141" i="8"/>
  <c r="CM141" i="8"/>
  <c r="CD141" i="8"/>
  <c r="CE143" i="8"/>
  <c r="CF143" i="8"/>
  <c r="CG143" i="8"/>
  <c r="CH143" i="8"/>
  <c r="CI143" i="8"/>
  <c r="CJ143" i="8"/>
  <c r="CK143" i="8"/>
  <c r="CL143" i="8"/>
  <c r="CM143" i="8"/>
  <c r="CD143" i="8"/>
  <c r="CE145" i="8"/>
  <c r="CF145" i="8"/>
  <c r="CG145" i="8"/>
  <c r="CH145" i="8"/>
  <c r="CI145" i="8"/>
  <c r="CJ145" i="8"/>
  <c r="CK145" i="8"/>
  <c r="CL145" i="8"/>
  <c r="CM145" i="8"/>
  <c r="CD145" i="8"/>
  <c r="CE146" i="8"/>
  <c r="CF146" i="8"/>
  <c r="CG146" i="8"/>
  <c r="CH146" i="8"/>
  <c r="CI146" i="8"/>
  <c r="CJ146" i="8"/>
  <c r="CK146" i="8"/>
  <c r="CL146" i="8"/>
  <c r="CM146" i="8"/>
  <c r="CD146" i="8"/>
  <c r="CV141" i="8"/>
  <c r="CW141" i="8"/>
  <c r="CX141" i="8"/>
  <c r="CY141" i="8"/>
  <c r="CZ141" i="8"/>
  <c r="DA141" i="8"/>
  <c r="DB141" i="8"/>
  <c r="DC141" i="8"/>
  <c r="DD141" i="8"/>
  <c r="CU141" i="8"/>
  <c r="CV143" i="8"/>
  <c r="CW143" i="8"/>
  <c r="CX143" i="8"/>
  <c r="CY143" i="8"/>
  <c r="CZ143" i="8"/>
  <c r="DA143" i="8"/>
  <c r="DB143" i="8"/>
  <c r="DC143" i="8"/>
  <c r="DD143" i="8"/>
  <c r="CU143" i="8"/>
  <c r="CV145" i="8"/>
  <c r="CW145" i="8"/>
  <c r="CX145" i="8"/>
  <c r="CY145" i="8"/>
  <c r="CZ145" i="8"/>
  <c r="DA145" i="8"/>
  <c r="DB145" i="8"/>
  <c r="DC145" i="8"/>
  <c r="DD145" i="8"/>
  <c r="CU145" i="8"/>
  <c r="CV146" i="8"/>
  <c r="CW146" i="8"/>
  <c r="CX146" i="8"/>
  <c r="CY146" i="8"/>
  <c r="CZ146" i="8"/>
  <c r="DA146" i="8"/>
  <c r="DB146" i="8"/>
  <c r="DC146" i="8"/>
  <c r="DD146" i="8"/>
  <c r="CU146" i="8"/>
  <c r="DK141" i="8"/>
  <c r="DL141" i="8"/>
  <c r="DM141" i="8"/>
  <c r="DN141" i="8"/>
  <c r="DO141" i="8"/>
  <c r="DP141" i="8"/>
  <c r="DQ141" i="8"/>
  <c r="DR141" i="8"/>
  <c r="DS141" i="8"/>
  <c r="DJ141" i="8"/>
  <c r="DK143" i="8"/>
  <c r="DL143" i="8"/>
  <c r="DM143" i="8"/>
  <c r="DN143" i="8"/>
  <c r="DO143" i="8"/>
  <c r="DP143" i="8"/>
  <c r="DQ143" i="8"/>
  <c r="DR143" i="8"/>
  <c r="DS143" i="8"/>
  <c r="DJ143" i="8"/>
  <c r="DK145" i="8"/>
  <c r="DL145" i="8"/>
  <c r="DM145" i="8"/>
  <c r="DN145" i="8"/>
  <c r="DO145" i="8"/>
  <c r="DP145" i="8"/>
  <c r="DQ145" i="8"/>
  <c r="DR145" i="8"/>
  <c r="DS145" i="8"/>
  <c r="DJ145" i="8"/>
  <c r="DK146" i="8"/>
  <c r="DL146" i="8"/>
  <c r="DM146" i="8"/>
  <c r="DN146" i="8"/>
  <c r="DO146" i="8"/>
  <c r="DP146" i="8"/>
  <c r="DQ146" i="8"/>
  <c r="DR146" i="8"/>
  <c r="DS146" i="8"/>
  <c r="DJ146" i="8"/>
  <c r="DZ141" i="8"/>
  <c r="EA141" i="8"/>
  <c r="EB141" i="8"/>
  <c r="EC141" i="8"/>
  <c r="ED141" i="8"/>
  <c r="EE141" i="8"/>
  <c r="EF141" i="8"/>
  <c r="EG141" i="8"/>
  <c r="EH141" i="8"/>
  <c r="DZ143" i="8"/>
  <c r="EA143" i="8"/>
  <c r="EB143" i="8"/>
  <c r="EC143" i="8"/>
  <c r="ED143" i="8"/>
  <c r="EE143" i="8"/>
  <c r="EF143" i="8"/>
  <c r="EG143" i="8"/>
  <c r="EH143" i="8"/>
  <c r="DY143" i="8"/>
  <c r="DY141" i="8"/>
  <c r="DZ145" i="8"/>
  <c r="EA145" i="8"/>
  <c r="EB145" i="8"/>
  <c r="EC145" i="8"/>
  <c r="ED145" i="8"/>
  <c r="EE145" i="8"/>
  <c r="EF145" i="8"/>
  <c r="EG145" i="8"/>
  <c r="EH145" i="8"/>
  <c r="DY145" i="8"/>
  <c r="DZ146" i="8"/>
  <c r="EA146" i="8"/>
  <c r="EB146" i="8"/>
  <c r="EC146" i="8"/>
  <c r="ED146" i="8"/>
  <c r="EE146" i="8"/>
  <c r="EF146" i="8"/>
  <c r="EG146" i="8"/>
  <c r="EH146" i="8"/>
  <c r="DY146" i="8"/>
  <c r="CB109" i="12"/>
  <c r="CB110" i="12" s="1"/>
  <c r="CK109" i="12"/>
  <c r="CK110" i="12" s="1"/>
  <c r="CC109" i="12"/>
  <c r="CC110" i="12" s="1"/>
  <c r="BT109" i="12"/>
  <c r="BT110" i="12" s="1"/>
  <c r="BE109" i="12"/>
  <c r="BE110" i="12" s="1"/>
  <c r="BB55" i="12"/>
  <c r="BB56" i="12" s="1"/>
  <c r="BB58" i="12" s="1"/>
  <c r="AX9" i="12" s="1"/>
  <c r="BQ82" i="12"/>
  <c r="BQ83" i="12" s="1"/>
  <c r="CJ82" i="12"/>
  <c r="CJ83" i="12" s="1"/>
  <c r="BX55" i="12"/>
  <c r="BX56" i="12" s="1"/>
  <c r="BW55" i="12"/>
  <c r="BW56" i="12" s="1"/>
  <c r="BP55" i="12"/>
  <c r="BP56" i="12" s="1"/>
  <c r="CK55" i="12"/>
  <c r="CK56" i="12" s="1"/>
  <c r="CC55" i="12"/>
  <c r="CC56" i="12" s="1"/>
  <c r="CH128" i="8"/>
  <c r="CH127" i="8"/>
  <c r="CH126" i="8"/>
  <c r="CH125" i="8"/>
  <c r="CQ153" i="2"/>
  <c r="CP153" i="2"/>
  <c r="CO153" i="2"/>
  <c r="AR45" i="10"/>
  <c r="AO45" i="10"/>
  <c r="AP45" i="10"/>
  <c r="AQ45" i="10"/>
  <c r="CF148" i="10"/>
  <c r="CG148" i="10"/>
  <c r="CH148" i="10"/>
  <c r="CI148" i="10"/>
  <c r="CJ148" i="10"/>
  <c r="CK148" i="10"/>
  <c r="CL148" i="10"/>
  <c r="CM148" i="10"/>
  <c r="CN148" i="10"/>
  <c r="CE148" i="10"/>
  <c r="BR148" i="10"/>
  <c r="BS148" i="10"/>
  <c r="BT148" i="10"/>
  <c r="BU148" i="10"/>
  <c r="BV148" i="10"/>
  <c r="BW148" i="10"/>
  <c r="BX148" i="10"/>
  <c r="BY148" i="10"/>
  <c r="BZ148" i="10"/>
  <c r="BQ148" i="10"/>
  <c r="BD148" i="10"/>
  <c r="BE148" i="10"/>
  <c r="BF148" i="10"/>
  <c r="BG148" i="10"/>
  <c r="BH148" i="10"/>
  <c r="BI148" i="10"/>
  <c r="BJ148" i="10"/>
  <c r="BK148" i="10"/>
  <c r="BL148" i="10"/>
  <c r="BC148" i="10"/>
  <c r="AO148" i="10"/>
  <c r="AP148" i="10"/>
  <c r="AQ148" i="10"/>
  <c r="AR148" i="10"/>
  <c r="AS148" i="10"/>
  <c r="AT148" i="10"/>
  <c r="AU148" i="10"/>
  <c r="AV148" i="10"/>
  <c r="AW148" i="10"/>
  <c r="AN148" i="10"/>
  <c r="CB90" i="10"/>
  <c r="CC90" i="10"/>
  <c r="CD90" i="10"/>
  <c r="CE90" i="10"/>
  <c r="CF90" i="10"/>
  <c r="CG90" i="10"/>
  <c r="CH90" i="10"/>
  <c r="CI90" i="10"/>
  <c r="CJ90" i="10"/>
  <c r="CA90" i="10"/>
  <c r="BO90" i="10"/>
  <c r="BP90" i="10"/>
  <c r="BQ90" i="10"/>
  <c r="BR90" i="10"/>
  <c r="BS90" i="10"/>
  <c r="BT90" i="10"/>
  <c r="BU90" i="10"/>
  <c r="BV90" i="10"/>
  <c r="BW90" i="10"/>
  <c r="BN90" i="10"/>
  <c r="CD45" i="10"/>
  <c r="CE45" i="10"/>
  <c r="CF45" i="10"/>
  <c r="CG45" i="10"/>
  <c r="CH45" i="10"/>
  <c r="CI45" i="10"/>
  <c r="CJ45" i="10"/>
  <c r="CK45" i="10"/>
  <c r="CL45" i="10"/>
  <c r="CC45" i="10"/>
  <c r="BP45" i="10"/>
  <c r="BQ45" i="10"/>
  <c r="BR45" i="10"/>
  <c r="BS45" i="10"/>
  <c r="BT45" i="10"/>
  <c r="BU45" i="10"/>
  <c r="BV45" i="10"/>
  <c r="BW45" i="10"/>
  <c r="BX45" i="10"/>
  <c r="BO45" i="10"/>
  <c r="BB45" i="10"/>
  <c r="BC45" i="10"/>
  <c r="BD45" i="10"/>
  <c r="BE45" i="10"/>
  <c r="BF45" i="10"/>
  <c r="BG45" i="10"/>
  <c r="BH45" i="10"/>
  <c r="BI45" i="10"/>
  <c r="BJ45" i="10"/>
  <c r="BA45" i="10"/>
  <c r="R39" i="10"/>
  <c r="CN155" i="11"/>
  <c r="CF155" i="11"/>
  <c r="CL155" i="11"/>
  <c r="CI103" i="11"/>
  <c r="CF103" i="11"/>
  <c r="AV103" i="11"/>
  <c r="BI155" i="11"/>
  <c r="BJ155" i="11"/>
  <c r="BK155" i="11"/>
  <c r="BD155" i="11"/>
  <c r="BL155" i="11"/>
  <c r="BF155" i="11"/>
  <c r="BE155" i="11"/>
  <c r="BM155" i="11"/>
  <c r="BH155" i="11"/>
  <c r="BD52" i="11"/>
  <c r="AU155" i="11"/>
  <c r="AV155" i="11"/>
  <c r="AW155" i="11"/>
  <c r="AR155" i="11"/>
  <c r="AX155" i="11"/>
  <c r="AQ155" i="11"/>
  <c r="AY155" i="11"/>
  <c r="AT155" i="11"/>
  <c r="AP155" i="11"/>
  <c r="CG52" i="11"/>
  <c r="CO52" i="11"/>
  <c r="CH52" i="11"/>
  <c r="CF52" i="11"/>
  <c r="CI52" i="11"/>
  <c r="CL52" i="11"/>
  <c r="CJ52" i="11"/>
  <c r="CK52" i="11"/>
  <c r="CN52" i="11"/>
  <c r="AS155" i="11"/>
  <c r="BV103" i="11"/>
  <c r="BR103" i="11"/>
  <c r="BS103" i="11"/>
  <c r="BW103" i="11"/>
  <c r="BX103" i="11"/>
  <c r="BY103" i="11"/>
  <c r="CA103" i="11"/>
  <c r="BZ103" i="11"/>
  <c r="BU103" i="11"/>
  <c r="CK103" i="11"/>
  <c r="CL103" i="11"/>
  <c r="CM103" i="11"/>
  <c r="CN103" i="11"/>
  <c r="CG103" i="11"/>
  <c r="CO103" i="11"/>
  <c r="CJ103" i="11"/>
  <c r="CH103" i="11"/>
  <c r="BG155" i="11"/>
  <c r="BT103" i="11"/>
  <c r="CM52" i="11"/>
  <c r="BL103" i="11"/>
  <c r="BD103" i="11"/>
  <c r="BE103" i="11"/>
  <c r="BM103" i="11"/>
  <c r="BF103" i="11"/>
  <c r="BG103" i="11"/>
  <c r="BH103" i="11"/>
  <c r="BK103" i="11"/>
  <c r="BI103" i="11"/>
  <c r="AS52" i="11"/>
  <c r="AX52" i="11"/>
  <c r="AT52" i="11"/>
  <c r="AU52" i="11"/>
  <c r="AV52" i="11"/>
  <c r="AW52" i="11"/>
  <c r="AR52" i="11"/>
  <c r="AP52" i="11"/>
  <c r="BT155" i="11"/>
  <c r="BY155" i="11"/>
  <c r="BU155" i="11"/>
  <c r="BV155" i="11"/>
  <c r="BW155" i="11"/>
  <c r="BX155" i="11"/>
  <c r="BR155" i="11"/>
  <c r="BS155" i="11"/>
  <c r="CA155" i="11"/>
  <c r="BS52" i="11"/>
  <c r="BJ103" i="11"/>
  <c r="BF52" i="11"/>
  <c r="BG52" i="11"/>
  <c r="BH52" i="11"/>
  <c r="BK52" i="11"/>
  <c r="BI52" i="11"/>
  <c r="BJ52" i="11"/>
  <c r="BE52" i="11"/>
  <c r="BM52" i="11"/>
  <c r="AQ52" i="11"/>
  <c r="CM155" i="11"/>
  <c r="AW103" i="11"/>
  <c r="CJ155" i="11"/>
  <c r="AT103" i="11"/>
  <c r="CK155" i="11"/>
  <c r="AU103" i="11"/>
  <c r="CI155" i="11"/>
  <c r="AS103" i="11"/>
  <c r="CH155" i="11"/>
  <c r="AP103" i="11"/>
  <c r="AR103" i="11"/>
  <c r="CO155" i="11"/>
  <c r="CG155" i="11"/>
  <c r="AY103" i="11"/>
  <c r="AQ103" i="11"/>
  <c r="AV45" i="10"/>
  <c r="AS45" i="10"/>
  <c r="BB90" i="10"/>
  <c r="BJ90" i="10"/>
  <c r="BC90" i="10"/>
  <c r="BA90" i="10"/>
  <c r="BD90" i="10"/>
  <c r="BE90" i="10"/>
  <c r="BF90" i="10"/>
  <c r="BG90" i="10"/>
  <c r="BH90" i="10"/>
  <c r="BI90" i="10"/>
  <c r="AO90" i="10"/>
  <c r="AW90" i="10"/>
  <c r="AP90" i="10"/>
  <c r="AN90" i="10"/>
  <c r="AQ90" i="10"/>
  <c r="AR90" i="10"/>
  <c r="AS90" i="10"/>
  <c r="AT90" i="10"/>
  <c r="AU90" i="10"/>
  <c r="AV90" i="10"/>
  <c r="CS4" i="7"/>
  <c r="CT4" i="7"/>
  <c r="CU4" i="7"/>
  <c r="CV4" i="7"/>
  <c r="CW4" i="7"/>
  <c r="CX4" i="7"/>
  <c r="CY4" i="7"/>
  <c r="CZ4" i="7"/>
  <c r="DA4" i="7"/>
  <c r="CR4" i="7"/>
  <c r="DD4" i="7" s="1"/>
  <c r="CR26" i="7"/>
  <c r="CS26" i="7"/>
  <c r="CT26" i="7"/>
  <c r="CU26" i="7"/>
  <c r="CV26" i="7"/>
  <c r="CW26" i="7"/>
  <c r="CX26" i="7"/>
  <c r="CY26" i="7"/>
  <c r="CZ26" i="7"/>
  <c r="DA26" i="7"/>
  <c r="CR24" i="7"/>
  <c r="CS24" i="7"/>
  <c r="CT24" i="7"/>
  <c r="CU24" i="7"/>
  <c r="CV24" i="7"/>
  <c r="CW24" i="7"/>
  <c r="CX24" i="7"/>
  <c r="CY24" i="7"/>
  <c r="CZ24" i="7"/>
  <c r="DA24" i="7"/>
  <c r="CS22" i="7"/>
  <c r="CT22" i="7"/>
  <c r="CU22" i="7"/>
  <c r="CV22" i="7"/>
  <c r="CW22" i="7"/>
  <c r="CX22" i="7"/>
  <c r="CY22" i="7"/>
  <c r="CZ22" i="7"/>
  <c r="DA22" i="7"/>
  <c r="CS20" i="7"/>
  <c r="CT20" i="7"/>
  <c r="CU20" i="7"/>
  <c r="CV20" i="7"/>
  <c r="CW20" i="7"/>
  <c r="CX20" i="7"/>
  <c r="CY20" i="7"/>
  <c r="CZ20" i="7"/>
  <c r="DA20" i="7"/>
  <c r="CR18" i="7"/>
  <c r="CS18" i="7"/>
  <c r="CT18" i="7"/>
  <c r="CU18" i="7"/>
  <c r="CV18" i="7"/>
  <c r="CW18" i="7"/>
  <c r="CX18" i="7"/>
  <c r="CY18" i="7"/>
  <c r="CZ18" i="7"/>
  <c r="DA18" i="7"/>
  <c r="CS16" i="7"/>
  <c r="CT16" i="7"/>
  <c r="CU16" i="7"/>
  <c r="CV16" i="7"/>
  <c r="CW16" i="7"/>
  <c r="CX16" i="7"/>
  <c r="CY16" i="7"/>
  <c r="CZ16" i="7"/>
  <c r="DA16" i="7"/>
  <c r="CR14" i="7"/>
  <c r="CS14" i="7"/>
  <c r="CT14" i="7"/>
  <c r="CU14" i="7"/>
  <c r="CV14" i="7"/>
  <c r="CW14" i="7"/>
  <c r="CX14" i="7"/>
  <c r="CY14" i="7"/>
  <c r="CZ14" i="7"/>
  <c r="DA14" i="7"/>
  <c r="CS12" i="7"/>
  <c r="CT12" i="7"/>
  <c r="CU12" i="7"/>
  <c r="CV12" i="7"/>
  <c r="CW12" i="7"/>
  <c r="CX12" i="7"/>
  <c r="CY12" i="7"/>
  <c r="CZ12" i="7"/>
  <c r="DA12" i="7"/>
  <c r="CR10" i="7"/>
  <c r="CS10" i="7"/>
  <c r="CT10" i="7"/>
  <c r="CU10" i="7"/>
  <c r="CV10" i="7"/>
  <c r="CW10" i="7"/>
  <c r="CX10" i="7"/>
  <c r="CY10" i="7"/>
  <c r="CZ10" i="7"/>
  <c r="DA10" i="7"/>
  <c r="CR8" i="7"/>
  <c r="CS8" i="7"/>
  <c r="CT8" i="7"/>
  <c r="CU8" i="7"/>
  <c r="CV8" i="7"/>
  <c r="CW8" i="7"/>
  <c r="CX8" i="7"/>
  <c r="CY8" i="7"/>
  <c r="CZ8" i="7"/>
  <c r="DA8" i="7"/>
  <c r="CS6" i="7"/>
  <c r="CT6" i="7"/>
  <c r="CU6" i="7"/>
  <c r="CV6" i="7"/>
  <c r="CW6" i="7"/>
  <c r="CX6" i="7"/>
  <c r="CY6" i="7"/>
  <c r="CZ6" i="7"/>
  <c r="DA6" i="7"/>
  <c r="EE187" i="7"/>
  <c r="EE183" i="7"/>
  <c r="EE179" i="7"/>
  <c r="EE175" i="7"/>
  <c r="EC187" i="7"/>
  <c r="EC183" i="7"/>
  <c r="EC179" i="7"/>
  <c r="EC175" i="7"/>
  <c r="EE186" i="7"/>
  <c r="EE182" i="7"/>
  <c r="EE178" i="7"/>
  <c r="EE174" i="7"/>
  <c r="EE172" i="7"/>
  <c r="EE170" i="7"/>
  <c r="EE168" i="7"/>
  <c r="EE166" i="7"/>
  <c r="EE164" i="7"/>
  <c r="EC186" i="7"/>
  <c r="EC182" i="7"/>
  <c r="EC178" i="7"/>
  <c r="EI170" i="7" s="1"/>
  <c r="EH153" i="7" s="1"/>
  <c r="EC174" i="7"/>
  <c r="EC172" i="7"/>
  <c r="EC170" i="7"/>
  <c r="EC168" i="7"/>
  <c r="EC166" i="7"/>
  <c r="EC164" i="7"/>
  <c r="EE185" i="7"/>
  <c r="EK173" i="7" s="1"/>
  <c r="EK154" i="7" s="1"/>
  <c r="EE181" i="7"/>
  <c r="EE177" i="7"/>
  <c r="EC185" i="7"/>
  <c r="EC181" i="7"/>
  <c r="EC177" i="7"/>
  <c r="EE184" i="7"/>
  <c r="EE180" i="7"/>
  <c r="EE176" i="7"/>
  <c r="EK169" i="7" s="1"/>
  <c r="EG154" i="7" s="1"/>
  <c r="EE173" i="7"/>
  <c r="EE171" i="7"/>
  <c r="EE169" i="7"/>
  <c r="EE167" i="7"/>
  <c r="EC184" i="7"/>
  <c r="EC180" i="7"/>
  <c r="EC176" i="7"/>
  <c r="EI169" i="7" s="1"/>
  <c r="EG153" i="7" s="1"/>
  <c r="EC173" i="7"/>
  <c r="EI168" i="7" s="1"/>
  <c r="EF153" i="7" s="1"/>
  <c r="EC171" i="7"/>
  <c r="EC169" i="7"/>
  <c r="EC167" i="7"/>
  <c r="DD26" i="7"/>
  <c r="DD22" i="7"/>
  <c r="DD20" i="7"/>
  <c r="DD18" i="7"/>
  <c r="DD14" i="7"/>
  <c r="DD10" i="7"/>
  <c r="DD6" i="7"/>
  <c r="CD51" i="8"/>
  <c r="CE51" i="8"/>
  <c r="CF51" i="8"/>
  <c r="CG51" i="8"/>
  <c r="CH51" i="8"/>
  <c r="CI51" i="8"/>
  <c r="CJ51" i="8"/>
  <c r="CK51" i="8"/>
  <c r="CL51" i="8"/>
  <c r="CM51" i="8"/>
  <c r="E2" i="10"/>
  <c r="F2" i="10" s="1"/>
  <c r="C13" i="11"/>
  <c r="C12" i="11"/>
  <c r="C11" i="11"/>
  <c r="AL17" i="11" s="1"/>
  <c r="C10" i="11"/>
  <c r="C9" i="11"/>
  <c r="AL15" i="11" s="1"/>
  <c r="C8" i="11"/>
  <c r="AL14" i="11" s="1"/>
  <c r="C7" i="11"/>
  <c r="C6" i="11"/>
  <c r="AL12" i="11" s="1"/>
  <c r="C5" i="11"/>
  <c r="AL11" i="11" s="1"/>
  <c r="C4" i="11"/>
  <c r="AL10" i="11" s="1"/>
  <c r="C3" i="11"/>
  <c r="AL9" i="11" s="1"/>
  <c r="AY24" i="7"/>
  <c r="E3" i="11" s="1"/>
  <c r="F3" i="11" s="1"/>
  <c r="AZ24" i="7"/>
  <c r="E4" i="11" s="1"/>
  <c r="F4" i="11" s="1"/>
  <c r="BA24" i="7"/>
  <c r="E5" i="11" s="1"/>
  <c r="F5" i="11" s="1"/>
  <c r="AI11" i="11" s="1"/>
  <c r="CG38" i="11" s="1"/>
  <c r="BB24" i="7"/>
  <c r="E6" i="11" s="1"/>
  <c r="F6" i="11" s="1"/>
  <c r="BC24" i="7"/>
  <c r="E7" i="11" s="1"/>
  <c r="F7" i="11" s="1"/>
  <c r="BD24" i="7"/>
  <c r="E8" i="11" s="1"/>
  <c r="F8" i="11" s="1"/>
  <c r="AI14" i="11" s="1"/>
  <c r="BR90" i="11" s="1"/>
  <c r="BE24" i="7"/>
  <c r="E9" i="11" s="1"/>
  <c r="F9" i="11" s="1"/>
  <c r="BF24" i="7"/>
  <c r="E10" i="11" s="1"/>
  <c r="F10" i="11" s="1"/>
  <c r="AI16" i="11" s="1"/>
  <c r="AP142" i="11" s="1"/>
  <c r="BG24" i="7"/>
  <c r="E11" i="11" s="1"/>
  <c r="F11" i="11" s="1"/>
  <c r="AI17" i="11" s="1"/>
  <c r="BD143" i="11" s="1"/>
  <c r="BH24" i="7"/>
  <c r="E12" i="11" s="1"/>
  <c r="F12" i="11" s="1"/>
  <c r="AI18" i="11" s="1"/>
  <c r="BR143" i="11" s="1"/>
  <c r="BI24" i="7"/>
  <c r="E13" i="11" s="1"/>
  <c r="F13" i="11" s="1"/>
  <c r="AI19" i="11" s="1"/>
  <c r="AX24" i="7"/>
  <c r="E2" i="11" s="1"/>
  <c r="F2" i="11" s="1"/>
  <c r="D21" i="2"/>
  <c r="CZ178" i="7"/>
  <c r="DA178" i="7"/>
  <c r="DB178" i="7"/>
  <c r="DC178" i="7"/>
  <c r="DD178" i="7"/>
  <c r="DE178" i="7"/>
  <c r="DF178" i="7"/>
  <c r="DG178" i="7"/>
  <c r="DH178" i="7"/>
  <c r="DI178" i="7"/>
  <c r="CJ178" i="7"/>
  <c r="CK178" i="7"/>
  <c r="CL178" i="7"/>
  <c r="CM178" i="7"/>
  <c r="CN178" i="7"/>
  <c r="CO178" i="7"/>
  <c r="CP178" i="7"/>
  <c r="CQ178" i="7"/>
  <c r="CR178" i="7"/>
  <c r="CS178" i="7"/>
  <c r="BP178" i="7"/>
  <c r="BQ178" i="7"/>
  <c r="BR178" i="7"/>
  <c r="BS178" i="7"/>
  <c r="BT178" i="7"/>
  <c r="BU178" i="7"/>
  <c r="BV178" i="7"/>
  <c r="BW178" i="7"/>
  <c r="BX178" i="7"/>
  <c r="BY178" i="7"/>
  <c r="DN115" i="7"/>
  <c r="DO115" i="7"/>
  <c r="DP115" i="7"/>
  <c r="DQ115" i="7"/>
  <c r="DR115" i="7"/>
  <c r="DS115" i="7"/>
  <c r="DT115" i="7"/>
  <c r="DU115" i="7"/>
  <c r="DV115" i="7"/>
  <c r="DW115" i="7"/>
  <c r="CZ115" i="7"/>
  <c r="DA115" i="7"/>
  <c r="DB115" i="7"/>
  <c r="DC115" i="7"/>
  <c r="DD115" i="7"/>
  <c r="DE115" i="7"/>
  <c r="DF115" i="7"/>
  <c r="DG115" i="7"/>
  <c r="DH115" i="7"/>
  <c r="DI115" i="7"/>
  <c r="CJ115" i="7"/>
  <c r="CK115" i="7"/>
  <c r="CL115" i="7"/>
  <c r="CM115" i="7"/>
  <c r="CN115" i="7"/>
  <c r="CO115" i="7"/>
  <c r="CP115" i="7"/>
  <c r="CQ115" i="7"/>
  <c r="CR115" i="7"/>
  <c r="CS115" i="7"/>
  <c r="BP115" i="7"/>
  <c r="BQ115" i="7"/>
  <c r="BR115" i="7"/>
  <c r="BS115" i="7"/>
  <c r="BT115" i="7"/>
  <c r="BU115" i="7"/>
  <c r="BV115" i="7"/>
  <c r="BW115" i="7"/>
  <c r="BX115" i="7"/>
  <c r="BY115" i="7"/>
  <c r="DN60" i="7"/>
  <c r="DO60" i="7"/>
  <c r="DP60" i="7"/>
  <c r="DQ60" i="7"/>
  <c r="DR60" i="7"/>
  <c r="DS60" i="7"/>
  <c r="DT60" i="7"/>
  <c r="DU60" i="7"/>
  <c r="DV60" i="7"/>
  <c r="DW60" i="7"/>
  <c r="E13" i="10"/>
  <c r="F13" i="10" s="1"/>
  <c r="AH19" i="10" s="1"/>
  <c r="CF133" i="10" s="1"/>
  <c r="B13" i="10"/>
  <c r="D13" i="10" s="1"/>
  <c r="E12" i="10"/>
  <c r="F12" i="10" s="1"/>
  <c r="AH18" i="10" s="1"/>
  <c r="BR131" i="10" s="1"/>
  <c r="B12" i="10"/>
  <c r="D12" i="10" s="1"/>
  <c r="E11" i="10"/>
  <c r="F11" i="10" s="1"/>
  <c r="AH17" i="10" s="1"/>
  <c r="BD133" i="10" s="1"/>
  <c r="B11" i="10"/>
  <c r="D11" i="10" s="1"/>
  <c r="E10" i="10"/>
  <c r="F10" i="10" s="1"/>
  <c r="AH16" i="10" s="1"/>
  <c r="AO132" i="10" s="1"/>
  <c r="B10" i="10"/>
  <c r="D10" i="10" s="1"/>
  <c r="E9" i="10"/>
  <c r="F9" i="10" s="1"/>
  <c r="AH15" i="10" s="1"/>
  <c r="CB74" i="10" s="1"/>
  <c r="B9" i="10"/>
  <c r="D9" i="10" s="1"/>
  <c r="E8" i="10"/>
  <c r="F8" i="10" s="1"/>
  <c r="AH14" i="10" s="1"/>
  <c r="BO71" i="10" s="1"/>
  <c r="B8" i="10"/>
  <c r="D8" i="10" s="1"/>
  <c r="E7" i="10"/>
  <c r="F7" i="10" s="1"/>
  <c r="AH13" i="10" s="1"/>
  <c r="BB77" i="10" s="1"/>
  <c r="B7" i="10"/>
  <c r="E6" i="10"/>
  <c r="F6" i="10" s="1"/>
  <c r="AH12" i="10" s="1"/>
  <c r="AO78" i="10" s="1"/>
  <c r="B6" i="10"/>
  <c r="D6" i="10" s="1"/>
  <c r="E5" i="10"/>
  <c r="F5" i="10" s="1"/>
  <c r="AH11" i="10" s="1"/>
  <c r="CC34" i="10" s="1"/>
  <c r="B5" i="10"/>
  <c r="D5" i="10" s="1"/>
  <c r="E4" i="10"/>
  <c r="F4" i="10" s="1"/>
  <c r="AH10" i="10" s="1"/>
  <c r="BP30" i="10" s="1"/>
  <c r="B4" i="10"/>
  <c r="D4" i="10" s="1"/>
  <c r="E3" i="10"/>
  <c r="F3" i="10" s="1"/>
  <c r="AH9" i="10" s="1"/>
  <c r="BB30" i="10" s="1"/>
  <c r="B3" i="10"/>
  <c r="D3" i="10" s="1"/>
  <c r="B2" i="10"/>
  <c r="D2" i="10" s="1"/>
  <c r="BI25" i="2"/>
  <c r="BH25" i="2"/>
  <c r="BG25" i="2"/>
  <c r="BF25" i="2"/>
  <c r="BE25" i="2"/>
  <c r="BD25" i="2"/>
  <c r="BC25" i="2"/>
  <c r="BB25" i="2"/>
  <c r="BA25" i="2"/>
  <c r="AZ25" i="2"/>
  <c r="AY25" i="2"/>
  <c r="AX25" i="2"/>
  <c r="AI8" i="11" l="1"/>
  <c r="AP38" i="11" s="1"/>
  <c r="AI12" i="11"/>
  <c r="AP90" i="11" s="1"/>
  <c r="AL13" i="11"/>
  <c r="AI10" i="11"/>
  <c r="AI9" i="11"/>
  <c r="BE38" i="11" s="1"/>
  <c r="BI50" i="11" s="1"/>
  <c r="BI56" i="11" s="1"/>
  <c r="BI57" i="11" s="1"/>
  <c r="AL16" i="11"/>
  <c r="AI15" i="11"/>
  <c r="CF90" i="11" s="1"/>
  <c r="CK101" i="11" s="1"/>
  <c r="CK107" i="11" s="1"/>
  <c r="CK108" i="11" s="1"/>
  <c r="AL18" i="11"/>
  <c r="AL19" i="11"/>
  <c r="AI13" i="11"/>
  <c r="BD91" i="11" s="1"/>
  <c r="AL8" i="11"/>
  <c r="AV109" i="12"/>
  <c r="AV110" i="12" s="1"/>
  <c r="AU109" i="12"/>
  <c r="AU110" i="12" s="1"/>
  <c r="AO112" i="12" s="1"/>
  <c r="AX16" i="12" s="1"/>
  <c r="BK109" i="12"/>
  <c r="BK110" i="12" s="1"/>
  <c r="BC109" i="12"/>
  <c r="BC110" i="12" s="1"/>
  <c r="BR109" i="12"/>
  <c r="BR110" i="12" s="1"/>
  <c r="BO112" i="12" s="1"/>
  <c r="AX18" i="12" s="1"/>
  <c r="BB85" i="12"/>
  <c r="AX13" i="12" s="1"/>
  <c r="AU13" i="12" s="1"/>
  <c r="BJ109" i="12"/>
  <c r="BJ110" i="12" s="1"/>
  <c r="BB112" i="12" s="1"/>
  <c r="AX17" i="12" s="1"/>
  <c r="BO109" i="12"/>
  <c r="BO110" i="12" s="1"/>
  <c r="BQ109" i="12"/>
  <c r="BQ110" i="12" s="1"/>
  <c r="BK82" i="12"/>
  <c r="BK83" i="12" s="1"/>
  <c r="BC82" i="12"/>
  <c r="BC83" i="12" s="1"/>
  <c r="BR82" i="12"/>
  <c r="BR83" i="12" s="1"/>
  <c r="CG82" i="12"/>
  <c r="CG83" i="12" s="1"/>
  <c r="CB85" i="12" s="1"/>
  <c r="AX15" i="12" s="1"/>
  <c r="AV82" i="12"/>
  <c r="AV83" i="12" s="1"/>
  <c r="AU82" i="12"/>
  <c r="AU83" i="12" s="1"/>
  <c r="AO85" i="12" s="1"/>
  <c r="AX12" i="12" s="1"/>
  <c r="BJ82" i="12"/>
  <c r="BJ83" i="12" s="1"/>
  <c r="BO82" i="12"/>
  <c r="BO83" i="12" s="1"/>
  <c r="CF82" i="12"/>
  <c r="CF83" i="12" s="1"/>
  <c r="CF55" i="12"/>
  <c r="CF56" i="12" s="1"/>
  <c r="CB58" i="12" s="1"/>
  <c r="AX11" i="12" s="1"/>
  <c r="AI35" i="10"/>
  <c r="CA52" i="11"/>
  <c r="BZ52" i="11"/>
  <c r="BR52" i="11"/>
  <c r="BT52" i="11"/>
  <c r="AC39" i="11"/>
  <c r="AI34" i="10" s="1"/>
  <c r="AH41" i="10"/>
  <c r="BY52" i="11"/>
  <c r="BU52" i="11"/>
  <c r="BX52" i="11"/>
  <c r="BV52" i="11"/>
  <c r="AK34" i="11"/>
  <c r="AT45" i="10"/>
  <c r="AU45" i="10"/>
  <c r="AN45" i="10"/>
  <c r="R40" i="10"/>
  <c r="AI33" i="10" s="1"/>
  <c r="AH40" i="10"/>
  <c r="AH8" i="10"/>
  <c r="AT37" i="10" s="1"/>
  <c r="AR43" i="10" s="1"/>
  <c r="AR51" i="10" s="1"/>
  <c r="AR52" i="10" s="1"/>
  <c r="AP51" i="12"/>
  <c r="AP55" i="12" s="1"/>
  <c r="AP56" i="12" s="1"/>
  <c r="AQ51" i="12"/>
  <c r="AQ55" i="12" s="1"/>
  <c r="AQ56" i="12" s="1"/>
  <c r="AR51" i="12"/>
  <c r="AR55" i="12" s="1"/>
  <c r="AR56" i="12" s="1"/>
  <c r="AS51" i="12"/>
  <c r="AS55" i="12" s="1"/>
  <c r="AS56" i="12" s="1"/>
  <c r="AT51" i="12"/>
  <c r="AT55" i="12" s="1"/>
  <c r="AT56" i="12" s="1"/>
  <c r="AU51" i="12"/>
  <c r="AU55" i="12" s="1"/>
  <c r="AU56" i="12" s="1"/>
  <c r="AV51" i="12"/>
  <c r="AV55" i="12" s="1"/>
  <c r="AV56" i="12" s="1"/>
  <c r="AW51" i="12"/>
  <c r="AW55" i="12" s="1"/>
  <c r="AW56" i="12" s="1"/>
  <c r="AX51" i="12"/>
  <c r="AX55" i="12" s="1"/>
  <c r="AX56" i="12" s="1"/>
  <c r="AO51" i="12"/>
  <c r="AO55" i="12" s="1"/>
  <c r="AO56" i="12" s="1"/>
  <c r="BO58" i="12"/>
  <c r="AX10" i="12" s="1"/>
  <c r="AV9" i="12"/>
  <c r="AU9" i="12"/>
  <c r="AT9" i="12"/>
  <c r="AQ9" i="12"/>
  <c r="AR9" i="12"/>
  <c r="AS9" i="12"/>
  <c r="CB112" i="12"/>
  <c r="AX19" i="12" s="1"/>
  <c r="DY149" i="8"/>
  <c r="EH149" i="8"/>
  <c r="EG149" i="8"/>
  <c r="EF149" i="8"/>
  <c r="EE149" i="8"/>
  <c r="ED149" i="8"/>
  <c r="EC149" i="8"/>
  <c r="EB149" i="8"/>
  <c r="EA149" i="8"/>
  <c r="DZ149" i="8"/>
  <c r="DJ149" i="8"/>
  <c r="DS149" i="8"/>
  <c r="DR149" i="8"/>
  <c r="DQ149" i="8"/>
  <c r="DP149" i="8"/>
  <c r="DO149" i="8"/>
  <c r="DN149" i="8"/>
  <c r="DM149" i="8"/>
  <c r="DL149" i="8"/>
  <c r="DK149" i="8"/>
  <c r="CU149" i="8"/>
  <c r="DD149" i="8"/>
  <c r="DC149" i="8"/>
  <c r="DB149" i="8"/>
  <c r="DA149" i="8"/>
  <c r="CZ149" i="8"/>
  <c r="CY149" i="8"/>
  <c r="CX149" i="8"/>
  <c r="CW149" i="8"/>
  <c r="CV149" i="8"/>
  <c r="CD149" i="8"/>
  <c r="CM149" i="8"/>
  <c r="CL149" i="8"/>
  <c r="CK149" i="8"/>
  <c r="CJ149" i="8"/>
  <c r="CI149" i="8"/>
  <c r="CH149" i="8"/>
  <c r="CG149" i="8"/>
  <c r="CF149" i="8"/>
  <c r="CE149" i="8"/>
  <c r="DY103" i="8"/>
  <c r="EH103" i="8"/>
  <c r="EG103" i="8"/>
  <c r="EF103" i="8"/>
  <c r="EE103" i="8"/>
  <c r="ED103" i="8"/>
  <c r="EC103" i="8"/>
  <c r="EB103" i="8"/>
  <c r="EA103" i="8"/>
  <c r="DZ103" i="8"/>
  <c r="DJ103" i="8"/>
  <c r="DS103" i="8"/>
  <c r="DR103" i="8"/>
  <c r="DQ103" i="8"/>
  <c r="DP103" i="8"/>
  <c r="DO103" i="8"/>
  <c r="DN103" i="8"/>
  <c r="DM103" i="8"/>
  <c r="DL103" i="8"/>
  <c r="DK103" i="8"/>
  <c r="CU103" i="8"/>
  <c r="DD103" i="8"/>
  <c r="DC103" i="8"/>
  <c r="DB103" i="8"/>
  <c r="DA103" i="8"/>
  <c r="CZ103" i="8"/>
  <c r="CY103" i="8"/>
  <c r="CX103" i="8"/>
  <c r="CW103" i="8"/>
  <c r="CV103" i="8"/>
  <c r="CD103" i="8"/>
  <c r="CD121" i="8" s="1"/>
  <c r="CM103" i="8"/>
  <c r="CM121" i="8" s="1"/>
  <c r="CL103" i="8"/>
  <c r="CL121" i="8" s="1"/>
  <c r="CK103" i="8"/>
  <c r="CK121" i="8" s="1"/>
  <c r="CJ103" i="8"/>
  <c r="CJ121" i="8" s="1"/>
  <c r="CI103" i="8"/>
  <c r="CI121" i="8" s="1"/>
  <c r="CH103" i="8"/>
  <c r="CH121" i="8" s="1"/>
  <c r="CG103" i="8"/>
  <c r="CG121" i="8" s="1"/>
  <c r="CF103" i="8"/>
  <c r="CF121" i="8" s="1"/>
  <c r="CE103" i="8"/>
  <c r="CE121" i="8" s="1"/>
  <c r="DY51" i="8"/>
  <c r="EH51" i="8"/>
  <c r="EG51" i="8"/>
  <c r="EF51" i="8"/>
  <c r="EE51" i="8"/>
  <c r="ED51" i="8"/>
  <c r="EC51" i="8"/>
  <c r="EB51" i="8"/>
  <c r="EA51" i="8"/>
  <c r="DZ51" i="8"/>
  <c r="DJ51" i="8"/>
  <c r="DS51" i="8"/>
  <c r="DR51" i="8"/>
  <c r="DQ51" i="8"/>
  <c r="DP51" i="8"/>
  <c r="DO51" i="8"/>
  <c r="DN51" i="8"/>
  <c r="DM51" i="8"/>
  <c r="DL51" i="8"/>
  <c r="DK51" i="8"/>
  <c r="CU51" i="8"/>
  <c r="DD51" i="8"/>
  <c r="DC51" i="8"/>
  <c r="DB51" i="8"/>
  <c r="DA51" i="8"/>
  <c r="CZ51" i="8"/>
  <c r="CY51" i="8"/>
  <c r="CX51" i="8"/>
  <c r="CW51" i="8"/>
  <c r="CV51" i="8"/>
  <c r="AV13" i="12"/>
  <c r="BO85" i="12"/>
  <c r="AX14" i="12" s="1"/>
  <c r="AO58" i="12"/>
  <c r="AX8" i="12" s="1"/>
  <c r="BB43" i="10"/>
  <c r="BB50" i="10" s="1"/>
  <c r="BB51" i="10" s="1"/>
  <c r="BC43" i="10"/>
  <c r="BC50" i="10" s="1"/>
  <c r="BC51" i="10" s="1"/>
  <c r="BD43" i="10"/>
  <c r="BD50" i="10" s="1"/>
  <c r="BD51" i="10" s="1"/>
  <c r="BE43" i="10"/>
  <c r="BE50" i="10" s="1"/>
  <c r="BE51" i="10" s="1"/>
  <c r="BF43" i="10"/>
  <c r="BF50" i="10" s="1"/>
  <c r="BF51" i="10" s="1"/>
  <c r="BG43" i="10"/>
  <c r="BG50" i="10" s="1"/>
  <c r="BG51" i="10" s="1"/>
  <c r="BH43" i="10"/>
  <c r="BH50" i="10" s="1"/>
  <c r="BH51" i="10" s="1"/>
  <c r="BI43" i="10"/>
  <c r="BI50" i="10" s="1"/>
  <c r="BI51" i="10" s="1"/>
  <c r="BJ43" i="10"/>
  <c r="BJ50" i="10" s="1"/>
  <c r="BJ51" i="10" s="1"/>
  <c r="BA43" i="10"/>
  <c r="BA50" i="10" s="1"/>
  <c r="BA51" i="10" s="1"/>
  <c r="BP43" i="10"/>
  <c r="BQ43" i="10"/>
  <c r="BQ50" i="10" s="1"/>
  <c r="BQ51" i="10" s="1"/>
  <c r="BR43" i="10"/>
  <c r="BR50" i="10" s="1"/>
  <c r="BR51" i="10" s="1"/>
  <c r="BS43" i="10"/>
  <c r="BS50" i="10" s="1"/>
  <c r="BS51" i="10" s="1"/>
  <c r="BT43" i="10"/>
  <c r="BT50" i="10" s="1"/>
  <c r="BT51" i="10" s="1"/>
  <c r="BU43" i="10"/>
  <c r="BU50" i="10" s="1"/>
  <c r="BU51" i="10" s="1"/>
  <c r="BV43" i="10"/>
  <c r="BV50" i="10" s="1"/>
  <c r="BV51" i="10" s="1"/>
  <c r="BW43" i="10"/>
  <c r="BW50" i="10" s="1"/>
  <c r="BW51" i="10" s="1"/>
  <c r="BX43" i="10"/>
  <c r="BO43" i="10"/>
  <c r="BO50" i="10" s="1"/>
  <c r="BO51" i="10" s="1"/>
  <c r="CD43" i="10"/>
  <c r="CD50" i="10" s="1"/>
  <c r="CD51" i="10" s="1"/>
  <c r="CE43" i="10"/>
  <c r="CE50" i="10" s="1"/>
  <c r="CE51" i="10" s="1"/>
  <c r="CF43" i="10"/>
  <c r="CF50" i="10" s="1"/>
  <c r="CF51" i="10" s="1"/>
  <c r="CG43" i="10"/>
  <c r="CG50" i="10" s="1"/>
  <c r="CG51" i="10" s="1"/>
  <c r="CH43" i="10"/>
  <c r="CH50" i="10" s="1"/>
  <c r="CH51" i="10" s="1"/>
  <c r="CI43" i="10"/>
  <c r="CI50" i="10" s="1"/>
  <c r="CI51" i="10" s="1"/>
  <c r="CJ43" i="10"/>
  <c r="CJ50" i="10" s="1"/>
  <c r="CJ51" i="10" s="1"/>
  <c r="CK43" i="10"/>
  <c r="CK50" i="10" s="1"/>
  <c r="CK51" i="10" s="1"/>
  <c r="CL43" i="10"/>
  <c r="CL50" i="10" s="1"/>
  <c r="CL51" i="10" s="1"/>
  <c r="CC43" i="10"/>
  <c r="CC50" i="10" s="1"/>
  <c r="CC51" i="10" s="1"/>
  <c r="BO88" i="10"/>
  <c r="BP88" i="10"/>
  <c r="BP95" i="10" s="1"/>
  <c r="BP96" i="10" s="1"/>
  <c r="BQ88" i="10"/>
  <c r="BQ95" i="10" s="1"/>
  <c r="BQ96" i="10" s="1"/>
  <c r="BR88" i="10"/>
  <c r="BR95" i="10" s="1"/>
  <c r="BR96" i="10" s="1"/>
  <c r="BS88" i="10"/>
  <c r="BT88" i="10"/>
  <c r="BT95" i="10" s="1"/>
  <c r="BT96" i="10" s="1"/>
  <c r="BU88" i="10"/>
  <c r="BU95" i="10" s="1"/>
  <c r="BU96" i="10" s="1"/>
  <c r="BV88" i="10"/>
  <c r="BV95" i="10" s="1"/>
  <c r="BV96" i="10" s="1"/>
  <c r="BW88" i="10"/>
  <c r="BN88" i="10"/>
  <c r="BN95" i="10" s="1"/>
  <c r="BN96" i="10" s="1"/>
  <c r="CB88" i="10"/>
  <c r="CB95" i="10" s="1"/>
  <c r="CB96" i="10" s="1"/>
  <c r="CC88" i="10"/>
  <c r="CC95" i="10" s="1"/>
  <c r="CC96" i="10" s="1"/>
  <c r="CD88" i="10"/>
  <c r="CD95" i="10" s="1"/>
  <c r="CD96" i="10" s="1"/>
  <c r="CE88" i="10"/>
  <c r="CE95" i="10" s="1"/>
  <c r="CE96" i="10" s="1"/>
  <c r="CF88" i="10"/>
  <c r="CF95" i="10" s="1"/>
  <c r="CF96" i="10" s="1"/>
  <c r="CG88" i="10"/>
  <c r="CG95" i="10" s="1"/>
  <c r="CG96" i="10" s="1"/>
  <c r="CH88" i="10"/>
  <c r="CH95" i="10" s="1"/>
  <c r="CH96" i="10" s="1"/>
  <c r="CI88" i="10"/>
  <c r="CI95" i="10" s="1"/>
  <c r="CI96" i="10" s="1"/>
  <c r="CJ88" i="10"/>
  <c r="CJ95" i="10" s="1"/>
  <c r="CJ96" i="10" s="1"/>
  <c r="CA88" i="10"/>
  <c r="CA95" i="10" s="1"/>
  <c r="CA96" i="10" s="1"/>
  <c r="AO146" i="10"/>
  <c r="AO153" i="10" s="1"/>
  <c r="AO154" i="10" s="1"/>
  <c r="AP146" i="10"/>
  <c r="AP153" i="10" s="1"/>
  <c r="AP154" i="10" s="1"/>
  <c r="AQ146" i="10"/>
  <c r="AQ153" i="10" s="1"/>
  <c r="AQ154" i="10" s="1"/>
  <c r="AR146" i="10"/>
  <c r="AR153" i="10" s="1"/>
  <c r="AR154" i="10" s="1"/>
  <c r="AS146" i="10"/>
  <c r="AS153" i="10" s="1"/>
  <c r="AS154" i="10" s="1"/>
  <c r="AT146" i="10"/>
  <c r="AT153" i="10" s="1"/>
  <c r="AT154" i="10" s="1"/>
  <c r="AU146" i="10"/>
  <c r="AU153" i="10" s="1"/>
  <c r="AU154" i="10" s="1"/>
  <c r="AV146" i="10"/>
  <c r="AV153" i="10" s="1"/>
  <c r="AV154" i="10" s="1"/>
  <c r="AW146" i="10"/>
  <c r="AW153" i="10" s="1"/>
  <c r="AW154" i="10" s="1"/>
  <c r="AN146" i="10"/>
  <c r="AN153" i="10" s="1"/>
  <c r="AN154" i="10" s="1"/>
  <c r="BD146" i="10"/>
  <c r="BD153" i="10" s="1"/>
  <c r="BD154" i="10" s="1"/>
  <c r="BE146" i="10"/>
  <c r="BE153" i="10" s="1"/>
  <c r="BE154" i="10" s="1"/>
  <c r="BF146" i="10"/>
  <c r="BF153" i="10" s="1"/>
  <c r="BF154" i="10" s="1"/>
  <c r="BG146" i="10"/>
  <c r="BG153" i="10" s="1"/>
  <c r="BG154" i="10" s="1"/>
  <c r="BH146" i="10"/>
  <c r="BH153" i="10" s="1"/>
  <c r="BH154" i="10" s="1"/>
  <c r="BI146" i="10"/>
  <c r="BI153" i="10" s="1"/>
  <c r="BI154" i="10" s="1"/>
  <c r="BJ146" i="10"/>
  <c r="BJ153" i="10" s="1"/>
  <c r="BJ154" i="10" s="1"/>
  <c r="BK146" i="10"/>
  <c r="BK153" i="10" s="1"/>
  <c r="BK154" i="10" s="1"/>
  <c r="BL146" i="10"/>
  <c r="BL153" i="10" s="1"/>
  <c r="BL154" i="10" s="1"/>
  <c r="BC146" i="10"/>
  <c r="BC153" i="10" s="1"/>
  <c r="BC154" i="10" s="1"/>
  <c r="BR146" i="10"/>
  <c r="BR153" i="10" s="1"/>
  <c r="BR154" i="10" s="1"/>
  <c r="BS146" i="10"/>
  <c r="BS153" i="10" s="1"/>
  <c r="BS154" i="10" s="1"/>
  <c r="BT146" i="10"/>
  <c r="BT153" i="10" s="1"/>
  <c r="BT154" i="10" s="1"/>
  <c r="BU146" i="10"/>
  <c r="BU153" i="10" s="1"/>
  <c r="BU154" i="10" s="1"/>
  <c r="BV146" i="10"/>
  <c r="BV153" i="10" s="1"/>
  <c r="BV154" i="10" s="1"/>
  <c r="BW146" i="10"/>
  <c r="BW153" i="10" s="1"/>
  <c r="BW154" i="10" s="1"/>
  <c r="BX146" i="10"/>
  <c r="BX153" i="10" s="1"/>
  <c r="BX154" i="10" s="1"/>
  <c r="BY146" i="10"/>
  <c r="BY153" i="10" s="1"/>
  <c r="BY154" i="10" s="1"/>
  <c r="BZ146" i="10"/>
  <c r="BZ153" i="10" s="1"/>
  <c r="BZ154" i="10" s="1"/>
  <c r="BQ146" i="10"/>
  <c r="BQ153" i="10" s="1"/>
  <c r="BQ154" i="10" s="1"/>
  <c r="CF146" i="10"/>
  <c r="CF153" i="10" s="1"/>
  <c r="CF154" i="10" s="1"/>
  <c r="CG146" i="10"/>
  <c r="CG153" i="10" s="1"/>
  <c r="CG154" i="10" s="1"/>
  <c r="CH146" i="10"/>
  <c r="CH153" i="10" s="1"/>
  <c r="CH154" i="10" s="1"/>
  <c r="CI146" i="10"/>
  <c r="CI153" i="10" s="1"/>
  <c r="CI154" i="10" s="1"/>
  <c r="CJ146" i="10"/>
  <c r="CJ153" i="10" s="1"/>
  <c r="CJ154" i="10" s="1"/>
  <c r="CK146" i="10"/>
  <c r="CK153" i="10" s="1"/>
  <c r="CK154" i="10" s="1"/>
  <c r="CL146" i="10"/>
  <c r="CL153" i="10" s="1"/>
  <c r="CL154" i="10" s="1"/>
  <c r="CM146" i="10"/>
  <c r="CM153" i="10" s="1"/>
  <c r="CM154" i="10" s="1"/>
  <c r="CN146" i="10"/>
  <c r="CN153" i="10" s="1"/>
  <c r="CN154" i="10" s="1"/>
  <c r="CE146" i="10"/>
  <c r="CE153" i="10" s="1"/>
  <c r="CE154" i="10" s="1"/>
  <c r="BX50" i="10"/>
  <c r="BX51" i="10" s="1"/>
  <c r="BP50" i="10"/>
  <c r="BP51" i="10" s="1"/>
  <c r="BW95" i="10"/>
  <c r="BW96" i="10" s="1"/>
  <c r="BS95" i="10"/>
  <c r="BS96" i="10" s="1"/>
  <c r="BO95" i="10"/>
  <c r="BO96" i="10" s="1"/>
  <c r="AM19" i="11"/>
  <c r="CF143" i="11"/>
  <c r="CI50" i="11"/>
  <c r="CI56" i="11" s="1"/>
  <c r="CI57" i="11" s="1"/>
  <c r="CN50" i="11"/>
  <c r="CN56" i="11" s="1"/>
  <c r="CN57" i="11" s="1"/>
  <c r="CJ50" i="11"/>
  <c r="CJ56" i="11" s="1"/>
  <c r="CJ57" i="11" s="1"/>
  <c r="CK50" i="11"/>
  <c r="CK56" i="11" s="1"/>
  <c r="CK57" i="11" s="1"/>
  <c r="CL50" i="11"/>
  <c r="CL56" i="11" s="1"/>
  <c r="CL57" i="11" s="1"/>
  <c r="CM50" i="11"/>
  <c r="CM56" i="11" s="1"/>
  <c r="CM57" i="11" s="1"/>
  <c r="CH50" i="11"/>
  <c r="CH56" i="11" s="1"/>
  <c r="CH57" i="11" s="1"/>
  <c r="CF50" i="11"/>
  <c r="CF56" i="11" s="1"/>
  <c r="CF57" i="11" s="1"/>
  <c r="CG50" i="11"/>
  <c r="CG56" i="11" s="1"/>
  <c r="CG57" i="11" s="1"/>
  <c r="CO50" i="11"/>
  <c r="CO56" i="11" s="1"/>
  <c r="CO57" i="11" s="1"/>
  <c r="BS153" i="11"/>
  <c r="BS159" i="11" s="1"/>
  <c r="BS160" i="11" s="1"/>
  <c r="CA153" i="11"/>
  <c r="CA159" i="11" s="1"/>
  <c r="CA160" i="11" s="1"/>
  <c r="BT153" i="11"/>
  <c r="BT159" i="11" s="1"/>
  <c r="BT160" i="11" s="1"/>
  <c r="BU153" i="11"/>
  <c r="BU159" i="11" s="1"/>
  <c r="BU160" i="11" s="1"/>
  <c r="BX153" i="11"/>
  <c r="BX159" i="11" s="1"/>
  <c r="BX160" i="11" s="1"/>
  <c r="BV153" i="11"/>
  <c r="BV159" i="11" s="1"/>
  <c r="BV160" i="11" s="1"/>
  <c r="BW153" i="11"/>
  <c r="BW159" i="11" s="1"/>
  <c r="BW160" i="11" s="1"/>
  <c r="BZ153" i="11"/>
  <c r="BZ159" i="11" s="1"/>
  <c r="BZ160" i="11" s="1"/>
  <c r="BR153" i="11"/>
  <c r="BR159" i="11" s="1"/>
  <c r="BR160" i="11" s="1"/>
  <c r="BY153" i="11"/>
  <c r="BY159" i="11" s="1"/>
  <c r="BY160" i="11" s="1"/>
  <c r="BG153" i="11"/>
  <c r="BG159" i="11" s="1"/>
  <c r="BG160" i="11" s="1"/>
  <c r="BH153" i="11"/>
  <c r="BH159" i="11" s="1"/>
  <c r="BH160" i="11" s="1"/>
  <c r="BI153" i="11"/>
  <c r="BI159" i="11" s="1"/>
  <c r="BI160" i="11" s="1"/>
  <c r="BL153" i="11"/>
  <c r="BL159" i="11" s="1"/>
  <c r="BL160" i="11" s="1"/>
  <c r="BJ153" i="11"/>
  <c r="BJ159" i="11" s="1"/>
  <c r="BJ160" i="11" s="1"/>
  <c r="BD153" i="11"/>
  <c r="BD159" i="11" s="1"/>
  <c r="BD160" i="11" s="1"/>
  <c r="BK153" i="11"/>
  <c r="BK159" i="11" s="1"/>
  <c r="BK160" i="11" s="1"/>
  <c r="BF153" i="11"/>
  <c r="BF159" i="11" s="1"/>
  <c r="BF160" i="11" s="1"/>
  <c r="BM153" i="11"/>
  <c r="BM159" i="11" s="1"/>
  <c r="BM160" i="11" s="1"/>
  <c r="BE153" i="11"/>
  <c r="BE159" i="11" s="1"/>
  <c r="BE160" i="11" s="1"/>
  <c r="BE50" i="11"/>
  <c r="BE56" i="11" s="1"/>
  <c r="BE57" i="11" s="1"/>
  <c r="BF50" i="11"/>
  <c r="BF56" i="11" s="1"/>
  <c r="BF57" i="11" s="1"/>
  <c r="BH50" i="11"/>
  <c r="BH56" i="11" s="1"/>
  <c r="BH57" i="11" s="1"/>
  <c r="BK50" i="11"/>
  <c r="BK56" i="11" s="1"/>
  <c r="BK57" i="11" s="1"/>
  <c r="BJ50" i="11"/>
  <c r="BJ56" i="11" s="1"/>
  <c r="BJ57" i="11" s="1"/>
  <c r="AT153" i="11"/>
  <c r="AT159" i="11" s="1"/>
  <c r="AT160" i="11" s="1"/>
  <c r="AU153" i="11"/>
  <c r="AU159" i="11" s="1"/>
  <c r="AU160" i="11" s="1"/>
  <c r="AV153" i="11"/>
  <c r="AV159" i="11" s="1"/>
  <c r="AV160" i="11" s="1"/>
  <c r="AP153" i="11"/>
  <c r="AP159" i="11" s="1"/>
  <c r="AP160" i="11" s="1"/>
  <c r="AW153" i="11"/>
  <c r="AW159" i="11" s="1"/>
  <c r="AW160" i="11" s="1"/>
  <c r="AY153" i="11"/>
  <c r="AY159" i="11" s="1"/>
  <c r="AY160" i="11" s="1"/>
  <c r="AX153" i="11"/>
  <c r="AX159" i="11" s="1"/>
  <c r="AX160" i="11" s="1"/>
  <c r="AS153" i="11"/>
  <c r="AS159" i="11" s="1"/>
  <c r="AS160" i="11" s="1"/>
  <c r="AQ153" i="11"/>
  <c r="AQ159" i="11" s="1"/>
  <c r="AQ160" i="11" s="1"/>
  <c r="AR153" i="11"/>
  <c r="AR159" i="11" s="1"/>
  <c r="AR160" i="11" s="1"/>
  <c r="BY50" i="11"/>
  <c r="BY56" i="11" s="1"/>
  <c r="BY57" i="11" s="1"/>
  <c r="BZ50" i="11"/>
  <c r="BZ56" i="11" s="1"/>
  <c r="BZ57" i="11" s="1"/>
  <c r="BS50" i="11"/>
  <c r="BS56" i="11" s="1"/>
  <c r="BS57" i="11" s="1"/>
  <c r="CA50" i="11"/>
  <c r="CA56" i="11" s="1"/>
  <c r="CA57" i="11" s="1"/>
  <c r="BT50" i="11"/>
  <c r="BR50" i="11"/>
  <c r="BV50" i="11"/>
  <c r="BV56" i="11" s="1"/>
  <c r="BV57" i="11" s="1"/>
  <c r="BU50" i="11"/>
  <c r="BX50" i="11"/>
  <c r="BX56" i="11" s="1"/>
  <c r="BX57" i="11" s="1"/>
  <c r="BW50" i="11"/>
  <c r="BW56" i="11" s="1"/>
  <c r="BW57" i="11" s="1"/>
  <c r="CL101" i="11"/>
  <c r="CL107" i="11" s="1"/>
  <c r="CL108" i="11" s="1"/>
  <c r="CM101" i="11"/>
  <c r="CM107" i="11" s="1"/>
  <c r="CM108" i="11" s="1"/>
  <c r="CN101" i="11"/>
  <c r="CN107" i="11" s="1"/>
  <c r="CN108" i="11" s="1"/>
  <c r="CG101" i="11"/>
  <c r="CG107" i="11" s="1"/>
  <c r="CG108" i="11" s="1"/>
  <c r="CI101" i="11"/>
  <c r="CI107" i="11" s="1"/>
  <c r="CI108" i="11" s="1"/>
  <c r="CF101" i="11"/>
  <c r="CF107" i="11" s="1"/>
  <c r="CF108" i="11" s="1"/>
  <c r="CJ101" i="11"/>
  <c r="CJ107" i="11" s="1"/>
  <c r="CJ108" i="11" s="1"/>
  <c r="BW101" i="11"/>
  <c r="BW107" i="11" s="1"/>
  <c r="BW108" i="11" s="1"/>
  <c r="BX101" i="11"/>
  <c r="BX107" i="11" s="1"/>
  <c r="BX108" i="11" s="1"/>
  <c r="BR101" i="11"/>
  <c r="BR107" i="11" s="1"/>
  <c r="BR108" i="11" s="1"/>
  <c r="BY101" i="11"/>
  <c r="BY107" i="11" s="1"/>
  <c r="BY108" i="11" s="1"/>
  <c r="BZ101" i="11"/>
  <c r="BZ107" i="11" s="1"/>
  <c r="BZ108" i="11" s="1"/>
  <c r="BS101" i="11"/>
  <c r="BS107" i="11" s="1"/>
  <c r="BS108" i="11" s="1"/>
  <c r="CA101" i="11"/>
  <c r="CA107" i="11" s="1"/>
  <c r="CA108" i="11" s="1"/>
  <c r="BV101" i="11"/>
  <c r="BV107" i="11" s="1"/>
  <c r="BV108" i="11" s="1"/>
  <c r="BT101" i="11"/>
  <c r="BT107" i="11" s="1"/>
  <c r="BT108" i="11" s="1"/>
  <c r="BU101" i="11"/>
  <c r="BU107" i="11" s="1"/>
  <c r="BU108" i="11" s="1"/>
  <c r="BE101" i="11"/>
  <c r="BE107" i="11" s="1"/>
  <c r="BE108" i="11" s="1"/>
  <c r="BM101" i="11"/>
  <c r="BM107" i="11" s="1"/>
  <c r="BM108" i="11" s="1"/>
  <c r="BF101" i="11"/>
  <c r="BF107" i="11" s="1"/>
  <c r="BF108" i="11" s="1"/>
  <c r="BG101" i="11"/>
  <c r="BG107" i="11" s="1"/>
  <c r="BG108" i="11" s="1"/>
  <c r="BH101" i="11"/>
  <c r="BH107" i="11" s="1"/>
  <c r="BH108" i="11" s="1"/>
  <c r="BD101" i="11"/>
  <c r="BD107" i="11" s="1"/>
  <c r="BD108" i="11" s="1"/>
  <c r="BJ101" i="11"/>
  <c r="BJ107" i="11" s="1"/>
  <c r="BJ108" i="11" s="1"/>
  <c r="BI101" i="11"/>
  <c r="BI107" i="11" s="1"/>
  <c r="BI108" i="11" s="1"/>
  <c r="BL101" i="11"/>
  <c r="BL107" i="11" s="1"/>
  <c r="BL108" i="11" s="1"/>
  <c r="BK101" i="11"/>
  <c r="BK107" i="11" s="1"/>
  <c r="BK108" i="11" s="1"/>
  <c r="AP8" i="11"/>
  <c r="AT101" i="11"/>
  <c r="AT107" i="11" s="1"/>
  <c r="AT108" i="11" s="1"/>
  <c r="AY101" i="11"/>
  <c r="AY107" i="11" s="1"/>
  <c r="AY108" i="11" s="1"/>
  <c r="AU101" i="11"/>
  <c r="AU107" i="11" s="1"/>
  <c r="AU108" i="11" s="1"/>
  <c r="AV101" i="11"/>
  <c r="AV107" i="11" s="1"/>
  <c r="AV108" i="11" s="1"/>
  <c r="AW101" i="11"/>
  <c r="AW107" i="11" s="1"/>
  <c r="AW108" i="11" s="1"/>
  <c r="AX101" i="11"/>
  <c r="AX107" i="11" s="1"/>
  <c r="AX108" i="11" s="1"/>
  <c r="AS101" i="11"/>
  <c r="AS107" i="11" s="1"/>
  <c r="AS108" i="11" s="1"/>
  <c r="AP101" i="11"/>
  <c r="AP107" i="11" s="1"/>
  <c r="AP108" i="11" s="1"/>
  <c r="AQ101" i="11"/>
  <c r="AQ107" i="11" s="1"/>
  <c r="AQ108" i="11" s="1"/>
  <c r="AR101" i="11"/>
  <c r="AR107" i="11" s="1"/>
  <c r="AR108" i="11" s="1"/>
  <c r="AM11" i="11"/>
  <c r="AM14" i="11"/>
  <c r="AM13" i="11"/>
  <c r="AM12" i="11"/>
  <c r="AM18" i="11"/>
  <c r="AM10" i="11"/>
  <c r="AM17" i="11"/>
  <c r="AM9" i="11"/>
  <c r="AM16" i="11"/>
  <c r="AM15" i="11"/>
  <c r="AM8" i="11"/>
  <c r="AN8" i="11" s="1"/>
  <c r="AO8" i="11" s="1"/>
  <c r="AK9" i="11" s="1"/>
  <c r="BE88" i="10"/>
  <c r="BE95" i="10" s="1"/>
  <c r="BE96" i="10" s="1"/>
  <c r="BA88" i="10"/>
  <c r="BA95" i="10" s="1"/>
  <c r="BF88" i="10"/>
  <c r="BF95" i="10" s="1"/>
  <c r="BF96" i="10" s="1"/>
  <c r="BG88" i="10"/>
  <c r="BG95" i="10" s="1"/>
  <c r="BG96" i="10" s="1"/>
  <c r="BC88" i="10"/>
  <c r="BC95" i="10" s="1"/>
  <c r="BC96" i="10" s="1"/>
  <c r="BH88" i="10"/>
  <c r="BH95" i="10" s="1"/>
  <c r="BH96" i="10" s="1"/>
  <c r="BI88" i="10"/>
  <c r="BI95" i="10" s="1"/>
  <c r="BI96" i="10" s="1"/>
  <c r="BD88" i="10"/>
  <c r="BD95" i="10" s="1"/>
  <c r="BD96" i="10" s="1"/>
  <c r="BB88" i="10"/>
  <c r="BB95" i="10" s="1"/>
  <c r="BB96" i="10" s="1"/>
  <c r="BJ88" i="10"/>
  <c r="BJ95" i="10" s="1"/>
  <c r="BJ96" i="10" s="1"/>
  <c r="AV43" i="10"/>
  <c r="AV51" i="10" s="1"/>
  <c r="AV52" i="10" s="1"/>
  <c r="AP88" i="10"/>
  <c r="AP95" i="10" s="1"/>
  <c r="AP96" i="10" s="1"/>
  <c r="AQ88" i="10"/>
  <c r="AQ95" i="10" s="1"/>
  <c r="AQ96" i="10" s="1"/>
  <c r="AR88" i="10"/>
  <c r="AR95" i="10" s="1"/>
  <c r="AR96" i="10" s="1"/>
  <c r="AN88" i="10"/>
  <c r="AN95" i="10" s="1"/>
  <c r="AW88" i="10"/>
  <c r="AW95" i="10" s="1"/>
  <c r="AW96" i="10" s="1"/>
  <c r="AS88" i="10"/>
  <c r="AS95" i="10" s="1"/>
  <c r="AS96" i="10" s="1"/>
  <c r="AT88" i="10"/>
  <c r="AT95" i="10" s="1"/>
  <c r="AT96" i="10" s="1"/>
  <c r="AU88" i="10"/>
  <c r="AU95" i="10" s="1"/>
  <c r="AU96" i="10" s="1"/>
  <c r="AV88" i="10"/>
  <c r="AV95" i="10" s="1"/>
  <c r="AV96" i="10" s="1"/>
  <c r="AO88" i="10"/>
  <c r="AO95" i="10" s="1"/>
  <c r="AO96" i="10" s="1"/>
  <c r="D7" i="10"/>
  <c r="P3" i="10" s="1"/>
  <c r="DD8" i="7"/>
  <c r="DD12" i="7"/>
  <c r="DD16" i="7"/>
  <c r="DD24" i="7"/>
  <c r="EK166" i="7"/>
  <c r="ED154" i="7" s="1"/>
  <c r="EI171" i="7"/>
  <c r="EI153" i="7" s="1"/>
  <c r="EI173" i="7"/>
  <c r="EK153" i="7" s="1"/>
  <c r="EK171" i="7"/>
  <c r="EI154" i="7" s="1"/>
  <c r="EK172" i="7"/>
  <c r="EJ154" i="7" s="1"/>
  <c r="EC188" i="7"/>
  <c r="EI164" i="7"/>
  <c r="EB153" i="7" s="1"/>
  <c r="EK170" i="7"/>
  <c r="EH154" i="7" s="1"/>
  <c r="EI172" i="7"/>
  <c r="EJ153" i="7" s="1"/>
  <c r="EI165" i="7"/>
  <c r="EC153" i="7" s="1"/>
  <c r="EK167" i="7"/>
  <c r="EE154" i="7" s="1"/>
  <c r="EI166" i="7"/>
  <c r="ED153" i="7" s="1"/>
  <c r="EE188" i="7"/>
  <c r="EK164" i="7"/>
  <c r="EB154" i="7" s="1"/>
  <c r="EI167" i="7"/>
  <c r="EE153" i="7" s="1"/>
  <c r="EK168" i="7"/>
  <c r="EF154" i="7" s="1"/>
  <c r="EK165" i="7"/>
  <c r="EC154" i="7" s="1"/>
  <c r="CD215" i="2"/>
  <c r="BP214" i="2"/>
  <c r="DF179" i="2"/>
  <c r="DM192" i="2" s="1"/>
  <c r="CQ178" i="2"/>
  <c r="CX192" i="2" s="1"/>
  <c r="CC178" i="2"/>
  <c r="BP170" i="2"/>
  <c r="DG123" i="2"/>
  <c r="CS124" i="2"/>
  <c r="CC125" i="2"/>
  <c r="BP128" i="2"/>
  <c r="DG87" i="2"/>
  <c r="DA60" i="7"/>
  <c r="DB60" i="7"/>
  <c r="DC60" i="7"/>
  <c r="DD60" i="7"/>
  <c r="DE60" i="7"/>
  <c r="DF60" i="7"/>
  <c r="DG60" i="7"/>
  <c r="DH60" i="7"/>
  <c r="DI60" i="7"/>
  <c r="CK60" i="7"/>
  <c r="CL60" i="7"/>
  <c r="CM60" i="7"/>
  <c r="CN60" i="7"/>
  <c r="CO60" i="7"/>
  <c r="CP60" i="7"/>
  <c r="CQ60" i="7"/>
  <c r="CR60" i="7"/>
  <c r="CS60" i="7"/>
  <c r="CJ60" i="7"/>
  <c r="BQ60" i="7"/>
  <c r="BR60" i="7"/>
  <c r="BS60" i="7"/>
  <c r="BT60" i="7"/>
  <c r="BU60" i="7"/>
  <c r="BV60" i="7"/>
  <c r="BW60" i="7"/>
  <c r="BX60" i="7"/>
  <c r="BY60" i="7"/>
  <c r="BP60" i="7"/>
  <c r="CZ60" i="7"/>
  <c r="BH21" i="8"/>
  <c r="BI21" i="8"/>
  <c r="BJ21" i="8"/>
  <c r="BK21" i="8"/>
  <c r="BL21" i="8"/>
  <c r="BM21" i="8"/>
  <c r="BN21" i="8"/>
  <c r="BO21" i="8"/>
  <c r="BP21" i="8"/>
  <c r="BQ21" i="8"/>
  <c r="BR21" i="8"/>
  <c r="BG21" i="8"/>
  <c r="AY21" i="7"/>
  <c r="B3" i="11" s="1"/>
  <c r="D3" i="11" s="1"/>
  <c r="AZ21" i="7"/>
  <c r="B4" i="11" s="1"/>
  <c r="D4" i="11" s="1"/>
  <c r="BA21" i="7"/>
  <c r="B5" i="11" s="1"/>
  <c r="D5" i="11" s="1"/>
  <c r="BB21" i="7"/>
  <c r="B6" i="11" s="1"/>
  <c r="D6" i="11" s="1"/>
  <c r="BC21" i="7"/>
  <c r="B7" i="11" s="1"/>
  <c r="D7" i="11" s="1"/>
  <c r="BD21" i="7"/>
  <c r="B8" i="11" s="1"/>
  <c r="D8" i="11" s="1"/>
  <c r="BE21" i="7"/>
  <c r="B9" i="11" s="1"/>
  <c r="D9" i="11" s="1"/>
  <c r="BF21" i="7"/>
  <c r="B10" i="11" s="1"/>
  <c r="D10" i="11" s="1"/>
  <c r="BG21" i="7"/>
  <c r="B11" i="11" s="1"/>
  <c r="D11" i="11" s="1"/>
  <c r="BH21" i="7"/>
  <c r="B12" i="11" s="1"/>
  <c r="D12" i="11" s="1"/>
  <c r="BI21" i="7"/>
  <c r="B13" i="11" s="1"/>
  <c r="D13" i="11" s="1"/>
  <c r="AY22" i="7"/>
  <c r="AZ22" i="7"/>
  <c r="BA22" i="7"/>
  <c r="BB22" i="7"/>
  <c r="BC22" i="7"/>
  <c r="BD22" i="7"/>
  <c r="BE22" i="7"/>
  <c r="BF22" i="7"/>
  <c r="BG22" i="7"/>
  <c r="BH22" i="7"/>
  <c r="BI22" i="7"/>
  <c r="AX21" i="7"/>
  <c r="CD218" i="2"/>
  <c r="CD217" i="2"/>
  <c r="CD216" i="2"/>
  <c r="BP215" i="2"/>
  <c r="CD214" i="2"/>
  <c r="BP217" i="2"/>
  <c r="BP216" i="2"/>
  <c r="DF180" i="2"/>
  <c r="DL194" i="2" s="1"/>
  <c r="BP213" i="2"/>
  <c r="DI192" i="2"/>
  <c r="DL192" i="2"/>
  <c r="DF182" i="2"/>
  <c r="DF181" i="2"/>
  <c r="CQ179" i="2"/>
  <c r="CV194" i="2" s="1"/>
  <c r="DF178" i="2"/>
  <c r="CP192" i="2"/>
  <c r="CQ181" i="2"/>
  <c r="CQ180" i="2"/>
  <c r="CQ177" i="2"/>
  <c r="CC181" i="2"/>
  <c r="CC180" i="2"/>
  <c r="CC179" i="2"/>
  <c r="CC177" i="2"/>
  <c r="BP173" i="2"/>
  <c r="BP172" i="2"/>
  <c r="BP171" i="2"/>
  <c r="BP169" i="2"/>
  <c r="AX23" i="2"/>
  <c r="DG126" i="2"/>
  <c r="DG125" i="2"/>
  <c r="DG124" i="2"/>
  <c r="DG122" i="2"/>
  <c r="CS127" i="2"/>
  <c r="CS126" i="2"/>
  <c r="CS125" i="2"/>
  <c r="CS123" i="2"/>
  <c r="CC124" i="2"/>
  <c r="CF125" i="2"/>
  <c r="CF124" i="2"/>
  <c r="CC126" i="2"/>
  <c r="BP131" i="2"/>
  <c r="BP130" i="2"/>
  <c r="BP129" i="2"/>
  <c r="BP126" i="2"/>
  <c r="DG90" i="2"/>
  <c r="DG89" i="2"/>
  <c r="DG88" i="2"/>
  <c r="DG85" i="2"/>
  <c r="CX79" i="2"/>
  <c r="CX78" i="2"/>
  <c r="BY61" i="2"/>
  <c r="CF84" i="2"/>
  <c r="CF76" i="2"/>
  <c r="CF78" i="2"/>
  <c r="CF80" i="2"/>
  <c r="CF82" i="2"/>
  <c r="CF86" i="2"/>
  <c r="CF88" i="2"/>
  <c r="CF90" i="2"/>
  <c r="CF92" i="2"/>
  <c r="CF94" i="2"/>
  <c r="CF74" i="2"/>
  <c r="CF72" i="2"/>
  <c r="BR67" i="2"/>
  <c r="AY23" i="2"/>
  <c r="AZ23" i="2"/>
  <c r="BA23" i="2"/>
  <c r="BB23" i="2"/>
  <c r="BC23" i="2"/>
  <c r="BD23" i="2"/>
  <c r="BE23" i="2"/>
  <c r="BF23" i="2"/>
  <c r="BG23" i="2"/>
  <c r="BH23" i="2"/>
  <c r="BI23" i="2"/>
  <c r="BJ32" i="2"/>
  <c r="BJ33" i="2"/>
  <c r="BJ34" i="2"/>
  <c r="BJ35" i="2"/>
  <c r="BJ36" i="2"/>
  <c r="BJ37" i="2"/>
  <c r="BJ38" i="2"/>
  <c r="BJ31" i="2"/>
  <c r="AY21" i="2"/>
  <c r="AZ21" i="2"/>
  <c r="BA21" i="2"/>
  <c r="BB21" i="2"/>
  <c r="BC21" i="2"/>
  <c r="BD21" i="2"/>
  <c r="BE21" i="2"/>
  <c r="BF21" i="2"/>
  <c r="BG21" i="2"/>
  <c r="BH21" i="2"/>
  <c r="BI21" i="2"/>
  <c r="AX21" i="2"/>
  <c r="AK25" i="8"/>
  <c r="CE157" i="10" l="1"/>
  <c r="AW19" i="10" s="1"/>
  <c r="BA55" i="10"/>
  <c r="AW9" i="10" s="1"/>
  <c r="CC55" i="10"/>
  <c r="AW11" i="10" s="1"/>
  <c r="O3" i="11"/>
  <c r="J3" i="11" s="1"/>
  <c r="K3" i="11" s="1"/>
  <c r="CH101" i="11"/>
  <c r="CH107" i="11" s="1"/>
  <c r="CH108" i="11" s="1"/>
  <c r="BG50" i="11"/>
  <c r="BG56" i="11" s="1"/>
  <c r="BG57" i="11" s="1"/>
  <c r="CO101" i="11"/>
  <c r="CO107" i="11" s="1"/>
  <c r="CO108" i="11" s="1"/>
  <c r="BM50" i="11"/>
  <c r="BM56" i="11" s="1"/>
  <c r="BM57" i="11" s="1"/>
  <c r="BT56" i="11"/>
  <c r="BT57" i="11" s="1"/>
  <c r="BD50" i="11"/>
  <c r="BD56" i="11" s="1"/>
  <c r="BD57" i="11" s="1"/>
  <c r="BL50" i="11"/>
  <c r="BL56" i="11" s="1"/>
  <c r="BL57" i="11" s="1"/>
  <c r="AV12" i="12"/>
  <c r="AS12" i="12"/>
  <c r="AU12" i="12"/>
  <c r="AT12" i="12"/>
  <c r="AQ12" i="12"/>
  <c r="AR12" i="12"/>
  <c r="AU11" i="12"/>
  <c r="AS11" i="12"/>
  <c r="AT11" i="12"/>
  <c r="AQ11" i="12"/>
  <c r="AR11" i="12"/>
  <c r="AV11" i="12"/>
  <c r="AS16" i="12"/>
  <c r="AV16" i="12"/>
  <c r="AQ16" i="12"/>
  <c r="AU16" i="12"/>
  <c r="AR16" i="12"/>
  <c r="AT16" i="12"/>
  <c r="AR13" i="12"/>
  <c r="AS13" i="12"/>
  <c r="AQ13" i="12"/>
  <c r="AT13" i="12"/>
  <c r="AZ13" i="12"/>
  <c r="BF11" i="12" s="1"/>
  <c r="BU56" i="11"/>
  <c r="BU57" i="11" s="1"/>
  <c r="DK194" i="2"/>
  <c r="DK192" i="2"/>
  <c r="DH192" i="2"/>
  <c r="DG192" i="2"/>
  <c r="CT192" i="2"/>
  <c r="DE192" i="2"/>
  <c r="CW192" i="2"/>
  <c r="DH194" i="2"/>
  <c r="CS194" i="2"/>
  <c r="AQ43" i="10"/>
  <c r="AQ51" i="10" s="1"/>
  <c r="AQ52" i="10" s="1"/>
  <c r="AT43" i="10"/>
  <c r="AT51" i="10" s="1"/>
  <c r="AT52" i="10" s="1"/>
  <c r="AN43" i="10"/>
  <c r="AN51" i="10" s="1"/>
  <c r="AN55" i="10" s="1"/>
  <c r="AS43" i="10"/>
  <c r="AS51" i="10" s="1"/>
  <c r="AS52" i="10" s="1"/>
  <c r="AP43" i="10"/>
  <c r="AP51" i="10" s="1"/>
  <c r="AP52" i="10" s="1"/>
  <c r="AW43" i="10"/>
  <c r="AW51" i="10" s="1"/>
  <c r="AW52" i="10" s="1"/>
  <c r="AO43" i="10"/>
  <c r="AO51" i="10" s="1"/>
  <c r="AO52" i="10" s="1"/>
  <c r="AU43" i="10"/>
  <c r="AU51" i="10" s="1"/>
  <c r="AU52" i="10" s="1"/>
  <c r="O3" i="10"/>
  <c r="K4" i="10" s="1"/>
  <c r="CU194" i="2"/>
  <c r="CV192" i="2"/>
  <c r="DJ194" i="2"/>
  <c r="CT194" i="2"/>
  <c r="CU192" i="2"/>
  <c r="DI194" i="2"/>
  <c r="DJ192" i="2"/>
  <c r="CS192" i="2"/>
  <c r="DG194" i="2"/>
  <c r="CQ194" i="2"/>
  <c r="CR192" i="2"/>
  <c r="DN194" i="2"/>
  <c r="DF194" i="2"/>
  <c r="CX194" i="2"/>
  <c r="CY192" i="2"/>
  <c r="CQ192" i="2"/>
  <c r="DM194" i="2"/>
  <c r="DN192" i="2"/>
  <c r="DF192" i="2"/>
  <c r="CP194" i="2"/>
  <c r="CR194" i="2"/>
  <c r="DE194" i="2"/>
  <c r="CY194" i="2"/>
  <c r="CW194" i="2"/>
  <c r="BR56" i="11"/>
  <c r="BR57" i="11" s="1"/>
  <c r="AJ8" i="12"/>
  <c r="B2" i="12"/>
  <c r="D2" i="12" s="1"/>
  <c r="BG22" i="8"/>
  <c r="AJ19" i="12"/>
  <c r="AM19" i="12" s="1"/>
  <c r="B13" i="12"/>
  <c r="D13" i="12" s="1"/>
  <c r="BR22" i="8"/>
  <c r="AJ18" i="12"/>
  <c r="AM18" i="12" s="1"/>
  <c r="B12" i="12"/>
  <c r="D12" i="12" s="1"/>
  <c r="BQ22" i="8"/>
  <c r="AJ17" i="12"/>
  <c r="AM17" i="12" s="1"/>
  <c r="B11" i="12"/>
  <c r="D11" i="12" s="1"/>
  <c r="BP22" i="8"/>
  <c r="AJ16" i="12"/>
  <c r="AM16" i="12" s="1"/>
  <c r="B10" i="12"/>
  <c r="D10" i="12" s="1"/>
  <c r="BO22" i="8"/>
  <c r="AJ15" i="12"/>
  <c r="AM15" i="12" s="1"/>
  <c r="B9" i="12"/>
  <c r="D9" i="12" s="1"/>
  <c r="BN22" i="8"/>
  <c r="AJ14" i="12"/>
  <c r="AM14" i="12" s="1"/>
  <c r="B8" i="12"/>
  <c r="D8" i="12" s="1"/>
  <c r="BM22" i="8"/>
  <c r="AJ13" i="12"/>
  <c r="AM13" i="12" s="1"/>
  <c r="B7" i="12"/>
  <c r="D7" i="12" s="1"/>
  <c r="BL22" i="8"/>
  <c r="AJ12" i="12"/>
  <c r="AM12" i="12" s="1"/>
  <c r="B6" i="12"/>
  <c r="D6" i="12" s="1"/>
  <c r="BK22" i="8"/>
  <c r="AJ11" i="12"/>
  <c r="AM11" i="12" s="1"/>
  <c r="B5" i="12"/>
  <c r="D5" i="12" s="1"/>
  <c r="BJ22" i="8"/>
  <c r="AJ10" i="12"/>
  <c r="AM10" i="12" s="1"/>
  <c r="B4" i="12"/>
  <c r="D4" i="12" s="1"/>
  <c r="BI22" i="8"/>
  <c r="AJ9" i="12"/>
  <c r="AM9" i="12" s="1"/>
  <c r="B3" i="12"/>
  <c r="D3" i="12" s="1"/>
  <c r="BH22" i="8"/>
  <c r="AV18" i="12"/>
  <c r="AU18" i="12"/>
  <c r="AT18" i="12"/>
  <c r="AQ18" i="12"/>
  <c r="AR18" i="12"/>
  <c r="AS18" i="12"/>
  <c r="AV8" i="12"/>
  <c r="AU8" i="12"/>
  <c r="AT8" i="12"/>
  <c r="AS8" i="12"/>
  <c r="AR8" i="12"/>
  <c r="AQ8" i="12"/>
  <c r="AV17" i="12"/>
  <c r="AU17" i="12"/>
  <c r="AT17" i="12"/>
  <c r="AQ17" i="12"/>
  <c r="AR17" i="12"/>
  <c r="AS17" i="12"/>
  <c r="AV14" i="12"/>
  <c r="AU14" i="12"/>
  <c r="AT14" i="12"/>
  <c r="AQ14" i="12"/>
  <c r="AR14" i="12"/>
  <c r="AS14" i="12"/>
  <c r="BK14" i="12"/>
  <c r="BJ14" i="12"/>
  <c r="BI14" i="12"/>
  <c r="CD122" i="8"/>
  <c r="AV19" i="12"/>
  <c r="AU19" i="12"/>
  <c r="AT19" i="12"/>
  <c r="AQ19" i="12"/>
  <c r="AR19" i="12"/>
  <c r="AS19" i="12"/>
  <c r="AV10" i="12"/>
  <c r="AU10" i="12"/>
  <c r="AT10" i="12"/>
  <c r="AQ10" i="12"/>
  <c r="AR10" i="12"/>
  <c r="AS10" i="12"/>
  <c r="AV15" i="12"/>
  <c r="AU15" i="12"/>
  <c r="AT15" i="12"/>
  <c r="AQ15" i="12"/>
  <c r="AR15" i="12"/>
  <c r="AS15" i="12"/>
  <c r="AX22" i="2"/>
  <c r="AI8" i="10"/>
  <c r="BI22" i="2"/>
  <c r="AI19" i="10"/>
  <c r="AL19" i="10" s="1"/>
  <c r="BH22" i="2"/>
  <c r="AI18" i="10"/>
  <c r="AL18" i="10" s="1"/>
  <c r="BG22" i="2"/>
  <c r="AI17" i="10"/>
  <c r="AL17" i="10" s="1"/>
  <c r="BF22" i="2"/>
  <c r="AI16" i="10"/>
  <c r="AL16" i="10" s="1"/>
  <c r="BE22" i="2"/>
  <c r="AI15" i="10"/>
  <c r="AL15" i="10" s="1"/>
  <c r="BD22" i="2"/>
  <c r="AI14" i="10"/>
  <c r="AL14" i="10" s="1"/>
  <c r="BC22" i="2"/>
  <c r="AI13" i="10"/>
  <c r="AL13" i="10" s="1"/>
  <c r="BB22" i="2"/>
  <c r="AI12" i="10"/>
  <c r="AL12" i="10" s="1"/>
  <c r="BA22" i="2"/>
  <c r="AI11" i="10"/>
  <c r="AL11" i="10" s="1"/>
  <c r="AZ22" i="2"/>
  <c r="AI10" i="10"/>
  <c r="AL10" i="10" s="1"/>
  <c r="AY22" i="2"/>
  <c r="AI9" i="10"/>
  <c r="AL9" i="10" s="1"/>
  <c r="AU19" i="10"/>
  <c r="AT19" i="10"/>
  <c r="AS19" i="10"/>
  <c r="AP19" i="10"/>
  <c r="AQ19" i="10"/>
  <c r="AR19" i="10"/>
  <c r="BQ157" i="10"/>
  <c r="AW18" i="10" s="1"/>
  <c r="BC157" i="10"/>
  <c r="AW17" i="10" s="1"/>
  <c r="AN157" i="10"/>
  <c r="AW16" i="10" s="1"/>
  <c r="CA100" i="10"/>
  <c r="AW15" i="10" s="1"/>
  <c r="BN100" i="10"/>
  <c r="AW14" i="10" s="1"/>
  <c r="AU11" i="10"/>
  <c r="AT11" i="10"/>
  <c r="AS11" i="10"/>
  <c r="AP11" i="10"/>
  <c r="AQ11" i="10"/>
  <c r="AR11" i="10"/>
  <c r="BO55" i="10"/>
  <c r="AW10" i="10" s="1"/>
  <c r="AU9" i="10"/>
  <c r="AT9" i="10"/>
  <c r="AS9" i="10"/>
  <c r="AP9" i="10"/>
  <c r="AQ9" i="10"/>
  <c r="AR9" i="10"/>
  <c r="CF61" i="11"/>
  <c r="AX11" i="11" s="1"/>
  <c r="BD61" i="11"/>
  <c r="AX9" i="11" s="1"/>
  <c r="AP112" i="11"/>
  <c r="AX12" i="11" s="1"/>
  <c r="BD164" i="11"/>
  <c r="AX17" i="11" s="1"/>
  <c r="AU50" i="11"/>
  <c r="AU56" i="11" s="1"/>
  <c r="AU57" i="11" s="1"/>
  <c r="AR50" i="11"/>
  <c r="AR56" i="11" s="1"/>
  <c r="AR57" i="11" s="1"/>
  <c r="AV50" i="11"/>
  <c r="AV56" i="11" s="1"/>
  <c r="AV57" i="11" s="1"/>
  <c r="AW50" i="11"/>
  <c r="AW56" i="11" s="1"/>
  <c r="AW57" i="11" s="1"/>
  <c r="AX50" i="11"/>
  <c r="AX56" i="11" s="1"/>
  <c r="AX57" i="11" s="1"/>
  <c r="AQ50" i="11"/>
  <c r="AQ56" i="11" s="1"/>
  <c r="AQ57" i="11" s="1"/>
  <c r="AY50" i="11"/>
  <c r="AY56" i="11" s="1"/>
  <c r="AY57" i="11" s="1"/>
  <c r="AT50" i="11"/>
  <c r="AT56" i="11" s="1"/>
  <c r="AT57" i="11" s="1"/>
  <c r="AP50" i="11"/>
  <c r="AP56" i="11" s="1"/>
  <c r="AP57" i="11" s="1"/>
  <c r="AS50" i="11"/>
  <c r="AS56" i="11" s="1"/>
  <c r="AS57" i="11" s="1"/>
  <c r="BR61" i="11"/>
  <c r="AX10" i="11" s="1"/>
  <c r="BR164" i="11"/>
  <c r="AX18" i="11" s="1"/>
  <c r="CF112" i="11"/>
  <c r="AX15" i="11" s="1"/>
  <c r="BD112" i="11"/>
  <c r="AX13" i="11" s="1"/>
  <c r="BR112" i="11"/>
  <c r="AX14" i="11" s="1"/>
  <c r="AP164" i="11"/>
  <c r="AX16" i="11" s="1"/>
  <c r="CM153" i="11"/>
  <c r="CM159" i="11" s="1"/>
  <c r="CM160" i="11" s="1"/>
  <c r="CF153" i="11"/>
  <c r="CF159" i="11" s="1"/>
  <c r="CF160" i="11" s="1"/>
  <c r="CN153" i="11"/>
  <c r="CN159" i="11" s="1"/>
  <c r="CN160" i="11" s="1"/>
  <c r="CG153" i="11"/>
  <c r="CG159" i="11" s="1"/>
  <c r="CG160" i="11" s="1"/>
  <c r="CO153" i="11"/>
  <c r="CO159" i="11" s="1"/>
  <c r="CO160" i="11" s="1"/>
  <c r="CH153" i="11"/>
  <c r="CH159" i="11" s="1"/>
  <c r="CH160" i="11" s="1"/>
  <c r="CI153" i="11"/>
  <c r="CI159" i="11" s="1"/>
  <c r="CI160" i="11" s="1"/>
  <c r="CL153" i="11"/>
  <c r="CL159" i="11" s="1"/>
  <c r="CL160" i="11" s="1"/>
  <c r="CJ153" i="11"/>
  <c r="CJ159" i="11" s="1"/>
  <c r="CJ160" i="11" s="1"/>
  <c r="CK153" i="11"/>
  <c r="CK159" i="11" s="1"/>
  <c r="CK160" i="11" s="1"/>
  <c r="AN9" i="11"/>
  <c r="AO9" i="11" s="1"/>
  <c r="BA96" i="10"/>
  <c r="AM108" i="10" s="1"/>
  <c r="BA99" i="10"/>
  <c r="AN99" i="10"/>
  <c r="AN96" i="10"/>
  <c r="AM107" i="10" s="1"/>
  <c r="AP9" i="11"/>
  <c r="G3" i="10"/>
  <c r="G5" i="10"/>
  <c r="AX22" i="7"/>
  <c r="B2" i="11"/>
  <c r="D2" i="11" s="1"/>
  <c r="P3" i="11"/>
  <c r="G5" i="11" s="1"/>
  <c r="H5" i="11" s="1"/>
  <c r="J7" i="11"/>
  <c r="K7" i="11" s="1"/>
  <c r="J9" i="11"/>
  <c r="K9" i="11" s="1"/>
  <c r="J11" i="11"/>
  <c r="K11" i="11" s="1"/>
  <c r="J4" i="11"/>
  <c r="K4" i="11" s="1"/>
  <c r="J12" i="11"/>
  <c r="K12" i="11" s="1"/>
  <c r="J5" i="11"/>
  <c r="K5" i="11" s="1"/>
  <c r="J13" i="11"/>
  <c r="K13" i="11" s="1"/>
  <c r="J8" i="11"/>
  <c r="K8" i="11" s="1"/>
  <c r="J6" i="11"/>
  <c r="K6" i="11" s="1"/>
  <c r="J2" i="11"/>
  <c r="K2" i="11" s="1"/>
  <c r="K9" i="10"/>
  <c r="K11" i="10"/>
  <c r="K3" i="10"/>
  <c r="K6" i="10"/>
  <c r="K2" i="10"/>
  <c r="L2" i="10" s="1"/>
  <c r="G6" i="10"/>
  <c r="G13" i="10"/>
  <c r="G2" i="10"/>
  <c r="G11" i="10"/>
  <c r="G4" i="10"/>
  <c r="G8" i="10"/>
  <c r="G7" i="10"/>
  <c r="G10" i="10"/>
  <c r="G12" i="10"/>
  <c r="G9" i="10"/>
  <c r="CD226" i="2"/>
  <c r="CE226" i="2"/>
  <c r="CF226" i="2"/>
  <c r="CG226" i="2"/>
  <c r="CH226" i="2"/>
  <c r="CI226" i="2"/>
  <c r="CJ226" i="2"/>
  <c r="CK226" i="2"/>
  <c r="CL226" i="2"/>
  <c r="CC226" i="2"/>
  <c r="CD228" i="2"/>
  <c r="CE228" i="2"/>
  <c r="CF228" i="2"/>
  <c r="CG228" i="2"/>
  <c r="CH228" i="2"/>
  <c r="CI228" i="2"/>
  <c r="CJ228" i="2"/>
  <c r="CK228" i="2"/>
  <c r="CL228" i="2"/>
  <c r="CC228" i="2"/>
  <c r="CD230" i="2"/>
  <c r="CE230" i="2"/>
  <c r="CF230" i="2"/>
  <c r="CG230" i="2"/>
  <c r="CH230" i="2"/>
  <c r="CI230" i="2"/>
  <c r="CJ230" i="2"/>
  <c r="CK230" i="2"/>
  <c r="CL230" i="2"/>
  <c r="CC230" i="2"/>
  <c r="CD232" i="2"/>
  <c r="CE232" i="2"/>
  <c r="CF232" i="2"/>
  <c r="CG232" i="2"/>
  <c r="CH232" i="2"/>
  <c r="CI232" i="2"/>
  <c r="CJ232" i="2"/>
  <c r="CK232" i="2"/>
  <c r="CL232" i="2"/>
  <c r="CC232" i="2"/>
  <c r="CD231" i="2"/>
  <c r="CE231" i="2"/>
  <c r="CF231" i="2"/>
  <c r="CG231" i="2"/>
  <c r="CH231" i="2"/>
  <c r="CI231" i="2"/>
  <c r="CJ231" i="2"/>
  <c r="CK231" i="2"/>
  <c r="CL231" i="2"/>
  <c r="CC231" i="2"/>
  <c r="CB190" i="2"/>
  <c r="CC190" i="2"/>
  <c r="CD190" i="2"/>
  <c r="CE190" i="2"/>
  <c r="CF190" i="2"/>
  <c r="CG190" i="2"/>
  <c r="CH190" i="2"/>
  <c r="CI190" i="2"/>
  <c r="CJ190" i="2"/>
  <c r="CK190" i="2"/>
  <c r="CC192" i="2"/>
  <c r="CD192" i="2"/>
  <c r="CE192" i="2"/>
  <c r="CF192" i="2"/>
  <c r="CG192" i="2"/>
  <c r="CH192" i="2"/>
  <c r="CI192" i="2"/>
  <c r="CJ192" i="2"/>
  <c r="CK192" i="2"/>
  <c r="CB192" i="2"/>
  <c r="CC194" i="2"/>
  <c r="CD194" i="2"/>
  <c r="CE194" i="2"/>
  <c r="CF194" i="2"/>
  <c r="CG194" i="2"/>
  <c r="CH194" i="2"/>
  <c r="CI194" i="2"/>
  <c r="CJ194" i="2"/>
  <c r="CK194" i="2"/>
  <c r="CB194" i="2"/>
  <c r="CC196" i="2"/>
  <c r="CD196" i="2"/>
  <c r="CE196" i="2"/>
  <c r="CF196" i="2"/>
  <c r="CG196" i="2"/>
  <c r="CH196" i="2"/>
  <c r="CI196" i="2"/>
  <c r="CJ196" i="2"/>
  <c r="CK196" i="2"/>
  <c r="CB196" i="2"/>
  <c r="CC195" i="2"/>
  <c r="CD195" i="2"/>
  <c r="CE195" i="2"/>
  <c r="CF195" i="2"/>
  <c r="CG195" i="2"/>
  <c r="CH195" i="2"/>
  <c r="CI195" i="2"/>
  <c r="CJ195" i="2"/>
  <c r="CK195" i="2"/>
  <c r="CB195" i="2"/>
  <c r="CQ190" i="2"/>
  <c r="CR190" i="2"/>
  <c r="CS190" i="2"/>
  <c r="CT190" i="2"/>
  <c r="CU190" i="2"/>
  <c r="CV190" i="2"/>
  <c r="CW190" i="2"/>
  <c r="CX190" i="2"/>
  <c r="CY190" i="2"/>
  <c r="CP190" i="2"/>
  <c r="CQ196" i="2"/>
  <c r="CR196" i="2"/>
  <c r="CS196" i="2"/>
  <c r="CT196" i="2"/>
  <c r="CU196" i="2"/>
  <c r="CV196" i="2"/>
  <c r="CW196" i="2"/>
  <c r="CX196" i="2"/>
  <c r="CY196" i="2"/>
  <c r="CP196" i="2"/>
  <c r="CQ195" i="2"/>
  <c r="CR195" i="2"/>
  <c r="CS195" i="2"/>
  <c r="CT195" i="2"/>
  <c r="CU195" i="2"/>
  <c r="CV195" i="2"/>
  <c r="CW195" i="2"/>
  <c r="CX195" i="2"/>
  <c r="CY195" i="2"/>
  <c r="CP195" i="2"/>
  <c r="DF190" i="2"/>
  <c r="DG190" i="2"/>
  <c r="DH190" i="2"/>
  <c r="DI190" i="2"/>
  <c r="DJ190" i="2"/>
  <c r="DK190" i="2"/>
  <c r="DL190" i="2"/>
  <c r="DM190" i="2"/>
  <c r="DN190" i="2"/>
  <c r="DE190" i="2"/>
  <c r="DF196" i="2"/>
  <c r="DG196" i="2"/>
  <c r="DH196" i="2"/>
  <c r="DI196" i="2"/>
  <c r="DJ196" i="2"/>
  <c r="DK196" i="2"/>
  <c r="DL196" i="2"/>
  <c r="DM196" i="2"/>
  <c r="DN196" i="2"/>
  <c r="DE196" i="2"/>
  <c r="DF195" i="2"/>
  <c r="DG195" i="2"/>
  <c r="DH195" i="2"/>
  <c r="DI195" i="2"/>
  <c r="DJ195" i="2"/>
  <c r="DK195" i="2"/>
  <c r="DL195" i="2"/>
  <c r="DM195" i="2"/>
  <c r="DN195" i="2"/>
  <c r="DE195" i="2"/>
  <c r="BP227" i="2"/>
  <c r="BQ227" i="2"/>
  <c r="BR227" i="2"/>
  <c r="BS227" i="2"/>
  <c r="BT227" i="2"/>
  <c r="BU227" i="2"/>
  <c r="BV227" i="2"/>
  <c r="BW227" i="2"/>
  <c r="BX227" i="2"/>
  <c r="BO227" i="2"/>
  <c r="BP229" i="2"/>
  <c r="BQ229" i="2"/>
  <c r="BR229" i="2"/>
  <c r="BS229" i="2"/>
  <c r="BT229" i="2"/>
  <c r="BU229" i="2"/>
  <c r="BV229" i="2"/>
  <c r="BW229" i="2"/>
  <c r="BX229" i="2"/>
  <c r="BO229" i="2"/>
  <c r="BP231" i="2"/>
  <c r="BQ231" i="2"/>
  <c r="BR231" i="2"/>
  <c r="BS231" i="2"/>
  <c r="BT231" i="2"/>
  <c r="BU231" i="2"/>
  <c r="BV231" i="2"/>
  <c r="BW231" i="2"/>
  <c r="BX231" i="2"/>
  <c r="BO231" i="2"/>
  <c r="BP233" i="2"/>
  <c r="BQ233" i="2"/>
  <c r="BR233" i="2"/>
  <c r="BS233" i="2"/>
  <c r="BT233" i="2"/>
  <c r="BU233" i="2"/>
  <c r="BV233" i="2"/>
  <c r="BW233" i="2"/>
  <c r="BX233" i="2"/>
  <c r="BO233" i="2"/>
  <c r="BP232" i="2"/>
  <c r="BQ232" i="2"/>
  <c r="BR232" i="2"/>
  <c r="BS232" i="2"/>
  <c r="BT232" i="2"/>
  <c r="BU232" i="2"/>
  <c r="BV232" i="2"/>
  <c r="BW232" i="2"/>
  <c r="BX232" i="2"/>
  <c r="BO232" i="2"/>
  <c r="BP185" i="2"/>
  <c r="BQ185" i="2"/>
  <c r="BR185" i="2"/>
  <c r="BS185" i="2"/>
  <c r="BT185" i="2"/>
  <c r="BU185" i="2"/>
  <c r="BV185" i="2"/>
  <c r="BW185" i="2"/>
  <c r="BX185" i="2"/>
  <c r="BO185" i="2"/>
  <c r="BP187" i="2"/>
  <c r="BQ187" i="2"/>
  <c r="BR187" i="2"/>
  <c r="BS187" i="2"/>
  <c r="BT187" i="2"/>
  <c r="BU187" i="2"/>
  <c r="BV187" i="2"/>
  <c r="BW187" i="2"/>
  <c r="BX187" i="2"/>
  <c r="BO187" i="2"/>
  <c r="BP189" i="2"/>
  <c r="BQ189" i="2"/>
  <c r="BR189" i="2"/>
  <c r="BS189" i="2"/>
  <c r="BT189" i="2"/>
  <c r="BU189" i="2"/>
  <c r="BV189" i="2"/>
  <c r="BW189" i="2"/>
  <c r="BX189" i="2"/>
  <c r="BO189" i="2"/>
  <c r="BP191" i="2"/>
  <c r="BQ191" i="2"/>
  <c r="BR191" i="2"/>
  <c r="BS191" i="2"/>
  <c r="BT191" i="2"/>
  <c r="BU191" i="2"/>
  <c r="BV191" i="2"/>
  <c r="BW191" i="2"/>
  <c r="BX191" i="2"/>
  <c r="BO191" i="2"/>
  <c r="BP190" i="2"/>
  <c r="BQ190" i="2"/>
  <c r="BR190" i="2"/>
  <c r="BS190" i="2"/>
  <c r="BT190" i="2"/>
  <c r="BU190" i="2"/>
  <c r="BV190" i="2"/>
  <c r="BW190" i="2"/>
  <c r="BX190" i="2"/>
  <c r="BO190" i="2"/>
  <c r="DF132" i="2"/>
  <c r="DG132" i="2"/>
  <c r="DH132" i="2"/>
  <c r="DI132" i="2"/>
  <c r="DJ132" i="2"/>
  <c r="DK132" i="2"/>
  <c r="DL132" i="2"/>
  <c r="DM132" i="2"/>
  <c r="DN132" i="2"/>
  <c r="DO132" i="2"/>
  <c r="DG134" i="2"/>
  <c r="DH134" i="2"/>
  <c r="DI134" i="2"/>
  <c r="DJ134" i="2"/>
  <c r="DK134" i="2"/>
  <c r="DL134" i="2"/>
  <c r="DM134" i="2"/>
  <c r="DN134" i="2"/>
  <c r="DO134" i="2"/>
  <c r="DF134" i="2"/>
  <c r="DG136" i="2"/>
  <c r="DH136" i="2"/>
  <c r="DI136" i="2"/>
  <c r="DJ136" i="2"/>
  <c r="DK136" i="2"/>
  <c r="DL136" i="2"/>
  <c r="DM136" i="2"/>
  <c r="DN136" i="2"/>
  <c r="DO136" i="2"/>
  <c r="DF136" i="2"/>
  <c r="DG138" i="2"/>
  <c r="DH138" i="2"/>
  <c r="DI138" i="2"/>
  <c r="DJ138" i="2"/>
  <c r="DK138" i="2"/>
  <c r="DL138" i="2"/>
  <c r="DM138" i="2"/>
  <c r="DN138" i="2"/>
  <c r="DO138" i="2"/>
  <c r="DF138" i="2"/>
  <c r="DG137" i="2"/>
  <c r="DH137" i="2"/>
  <c r="DI137" i="2"/>
  <c r="DJ137" i="2"/>
  <c r="DK137" i="2"/>
  <c r="DL137" i="2"/>
  <c r="DM137" i="2"/>
  <c r="DN137" i="2"/>
  <c r="DO137" i="2"/>
  <c r="DF137" i="2"/>
  <c r="CS132" i="2"/>
  <c r="CT132" i="2"/>
  <c r="CU132" i="2"/>
  <c r="CV132" i="2"/>
  <c r="CW132" i="2"/>
  <c r="CX132" i="2"/>
  <c r="CY132" i="2"/>
  <c r="CZ132" i="2"/>
  <c r="DA132" i="2"/>
  <c r="CR132" i="2"/>
  <c r="CS134" i="2"/>
  <c r="CT134" i="2"/>
  <c r="CU134" i="2"/>
  <c r="CV134" i="2"/>
  <c r="CW134" i="2"/>
  <c r="CX134" i="2"/>
  <c r="CY134" i="2"/>
  <c r="CZ134" i="2"/>
  <c r="DA134" i="2"/>
  <c r="CR134" i="2"/>
  <c r="CS136" i="2"/>
  <c r="CT136" i="2"/>
  <c r="CU136" i="2"/>
  <c r="CV136" i="2"/>
  <c r="CW136" i="2"/>
  <c r="CX136" i="2"/>
  <c r="CY136" i="2"/>
  <c r="CZ136" i="2"/>
  <c r="DA136" i="2"/>
  <c r="CR136" i="2"/>
  <c r="CS137" i="2"/>
  <c r="CT137" i="2"/>
  <c r="CU137" i="2"/>
  <c r="CV137" i="2"/>
  <c r="CW137" i="2"/>
  <c r="CX137" i="2"/>
  <c r="CY137" i="2"/>
  <c r="CZ137" i="2"/>
  <c r="DA137" i="2"/>
  <c r="CR137" i="2"/>
  <c r="CS138" i="2"/>
  <c r="CT138" i="2"/>
  <c r="CU138" i="2"/>
  <c r="CV138" i="2"/>
  <c r="CW138" i="2"/>
  <c r="CX138" i="2"/>
  <c r="CY138" i="2"/>
  <c r="CZ138" i="2"/>
  <c r="DA138" i="2"/>
  <c r="CR138" i="2"/>
  <c r="CD132" i="2"/>
  <c r="CE132" i="2"/>
  <c r="CF132" i="2"/>
  <c r="CG132" i="2"/>
  <c r="CH132" i="2"/>
  <c r="CI132" i="2"/>
  <c r="CJ132" i="2"/>
  <c r="CK132" i="2"/>
  <c r="CL132" i="2"/>
  <c r="CC132" i="2"/>
  <c r="CD134" i="2"/>
  <c r="CE134" i="2"/>
  <c r="CF134" i="2"/>
  <c r="CG134" i="2"/>
  <c r="CH134" i="2"/>
  <c r="CI134" i="2"/>
  <c r="CJ134" i="2"/>
  <c r="CK134" i="2"/>
  <c r="CL134" i="2"/>
  <c r="CC134" i="2"/>
  <c r="CD136" i="2"/>
  <c r="CE136" i="2"/>
  <c r="CF136" i="2"/>
  <c r="CG136" i="2"/>
  <c r="CH136" i="2"/>
  <c r="CI136" i="2"/>
  <c r="CJ136" i="2"/>
  <c r="CK136" i="2"/>
  <c r="CL136" i="2"/>
  <c r="CC136" i="2"/>
  <c r="CD137" i="2"/>
  <c r="CE137" i="2"/>
  <c r="CF137" i="2"/>
  <c r="CG137" i="2"/>
  <c r="CH137" i="2"/>
  <c r="CI137" i="2"/>
  <c r="CJ137" i="2"/>
  <c r="CK137" i="2"/>
  <c r="CL137" i="2"/>
  <c r="CC137" i="2"/>
  <c r="CD138" i="2"/>
  <c r="CE138" i="2"/>
  <c r="CF138" i="2"/>
  <c r="CG138" i="2"/>
  <c r="CH138" i="2"/>
  <c r="CI138" i="2"/>
  <c r="CJ138" i="2"/>
  <c r="CK138" i="2"/>
  <c r="CL138" i="2"/>
  <c r="CC138" i="2"/>
  <c r="BP139" i="2"/>
  <c r="BQ139" i="2"/>
  <c r="BR139" i="2"/>
  <c r="BS139" i="2"/>
  <c r="BT139" i="2"/>
  <c r="BU139" i="2"/>
  <c r="BV139" i="2"/>
  <c r="BW139" i="2"/>
  <c r="BX139" i="2"/>
  <c r="BO139" i="2"/>
  <c r="BP141" i="2"/>
  <c r="BQ141" i="2"/>
  <c r="BR141" i="2"/>
  <c r="BS141" i="2"/>
  <c r="BT141" i="2"/>
  <c r="BU141" i="2"/>
  <c r="BV141" i="2"/>
  <c r="BW141" i="2"/>
  <c r="BX141" i="2"/>
  <c r="BO141" i="2"/>
  <c r="BP143" i="2"/>
  <c r="BQ143" i="2"/>
  <c r="BR143" i="2"/>
  <c r="BS143" i="2"/>
  <c r="BT143" i="2"/>
  <c r="BU143" i="2"/>
  <c r="BV143" i="2"/>
  <c r="BW143" i="2"/>
  <c r="BX143" i="2"/>
  <c r="BO143" i="2"/>
  <c r="BP144" i="2"/>
  <c r="BQ144" i="2"/>
  <c r="BR144" i="2"/>
  <c r="BS144" i="2"/>
  <c r="BT144" i="2"/>
  <c r="BU144" i="2"/>
  <c r="BV144" i="2"/>
  <c r="BW144" i="2"/>
  <c r="BX144" i="2"/>
  <c r="BO144" i="2"/>
  <c r="BP145" i="2"/>
  <c r="BQ145" i="2"/>
  <c r="BR145" i="2"/>
  <c r="BS145" i="2"/>
  <c r="BT145" i="2"/>
  <c r="BU145" i="2"/>
  <c r="BV145" i="2"/>
  <c r="BW145" i="2"/>
  <c r="BX145" i="2"/>
  <c r="BO145" i="2"/>
  <c r="DG98" i="2"/>
  <c r="DH98" i="2"/>
  <c r="DI98" i="2"/>
  <c r="DJ98" i="2"/>
  <c r="DK98" i="2"/>
  <c r="DL98" i="2"/>
  <c r="DM98" i="2"/>
  <c r="DN98" i="2"/>
  <c r="DO98" i="2"/>
  <c r="DF98" i="2"/>
  <c r="DG100" i="2"/>
  <c r="DH100" i="2"/>
  <c r="DI100" i="2"/>
  <c r="DJ100" i="2"/>
  <c r="DK100" i="2"/>
  <c r="DL100" i="2"/>
  <c r="DM100" i="2"/>
  <c r="DN100" i="2"/>
  <c r="DO100" i="2"/>
  <c r="DF100" i="2"/>
  <c r="DG102" i="2"/>
  <c r="DH102" i="2"/>
  <c r="DI102" i="2"/>
  <c r="DJ102" i="2"/>
  <c r="DK102" i="2"/>
  <c r="DL102" i="2"/>
  <c r="DM102" i="2"/>
  <c r="DN102" i="2"/>
  <c r="DO102" i="2"/>
  <c r="DF102" i="2"/>
  <c r="DG103" i="2"/>
  <c r="DH103" i="2"/>
  <c r="DI103" i="2"/>
  <c r="DJ103" i="2"/>
  <c r="DK103" i="2"/>
  <c r="DL103" i="2"/>
  <c r="DM103" i="2"/>
  <c r="DN103" i="2"/>
  <c r="DO103" i="2"/>
  <c r="DF103" i="2"/>
  <c r="DG104" i="2"/>
  <c r="DH104" i="2"/>
  <c r="DI104" i="2"/>
  <c r="DJ104" i="2"/>
  <c r="DK104" i="2"/>
  <c r="DL104" i="2"/>
  <c r="DM104" i="2"/>
  <c r="DN104" i="2"/>
  <c r="DO104" i="2"/>
  <c r="DF104" i="2"/>
  <c r="CM89" i="2"/>
  <c r="CN89" i="2"/>
  <c r="CO89" i="2"/>
  <c r="CP89" i="2"/>
  <c r="CQ89" i="2"/>
  <c r="CR89" i="2"/>
  <c r="CS89" i="2"/>
  <c r="CT89" i="2"/>
  <c r="CU89" i="2"/>
  <c r="CL89" i="2"/>
  <c r="CM91" i="2"/>
  <c r="CN91" i="2"/>
  <c r="CO91" i="2"/>
  <c r="CP91" i="2"/>
  <c r="CQ91" i="2"/>
  <c r="CR91" i="2"/>
  <c r="CS91" i="2"/>
  <c r="CT91" i="2"/>
  <c r="CU91" i="2"/>
  <c r="CL91" i="2"/>
  <c r="CM90" i="2"/>
  <c r="CN90" i="2"/>
  <c r="CO90" i="2"/>
  <c r="CP90" i="2"/>
  <c r="CQ90" i="2"/>
  <c r="CR90" i="2"/>
  <c r="CS90" i="2"/>
  <c r="CT90" i="2"/>
  <c r="CU90" i="2"/>
  <c r="CL90" i="2"/>
  <c r="BU73" i="2"/>
  <c r="BV73" i="2"/>
  <c r="BW73" i="2"/>
  <c r="BX73" i="2"/>
  <c r="BY73" i="2"/>
  <c r="BZ73" i="2"/>
  <c r="CA73" i="2"/>
  <c r="CB73" i="2"/>
  <c r="CC73" i="2"/>
  <c r="BT73" i="2"/>
  <c r="BU75" i="2"/>
  <c r="BV75" i="2"/>
  <c r="BW75" i="2"/>
  <c r="BX75" i="2"/>
  <c r="BY75" i="2"/>
  <c r="BZ75" i="2"/>
  <c r="CA75" i="2"/>
  <c r="CB75" i="2"/>
  <c r="CC75" i="2"/>
  <c r="BT75" i="2"/>
  <c r="BU95" i="2"/>
  <c r="BV95" i="2"/>
  <c r="BW95" i="2"/>
  <c r="BX95" i="2"/>
  <c r="BY95" i="2"/>
  <c r="BZ95" i="2"/>
  <c r="CA95" i="2"/>
  <c r="CB95" i="2"/>
  <c r="CC95" i="2"/>
  <c r="BT95" i="2"/>
  <c r="BU93" i="2"/>
  <c r="BV93" i="2"/>
  <c r="BW93" i="2"/>
  <c r="BX93" i="2"/>
  <c r="BY93" i="2"/>
  <c r="BZ93" i="2"/>
  <c r="CA93" i="2"/>
  <c r="CB93" i="2"/>
  <c r="CC93" i="2"/>
  <c r="BT93" i="2"/>
  <c r="BU91" i="2"/>
  <c r="BV91" i="2"/>
  <c r="BW91" i="2"/>
  <c r="BX91" i="2"/>
  <c r="BY91" i="2"/>
  <c r="BZ91" i="2"/>
  <c r="CA91" i="2"/>
  <c r="CB91" i="2"/>
  <c r="CC91" i="2"/>
  <c r="BT91" i="2"/>
  <c r="BU89" i="2"/>
  <c r="BV89" i="2"/>
  <c r="BW89" i="2"/>
  <c r="BX89" i="2"/>
  <c r="BY89" i="2"/>
  <c r="BZ89" i="2"/>
  <c r="CA89" i="2"/>
  <c r="CB89" i="2"/>
  <c r="CC89" i="2"/>
  <c r="BT89" i="2"/>
  <c r="BU87" i="2"/>
  <c r="BV87" i="2"/>
  <c r="BW87" i="2"/>
  <c r="BX87" i="2"/>
  <c r="BY87" i="2"/>
  <c r="BZ87" i="2"/>
  <c r="CA87" i="2"/>
  <c r="CB87" i="2"/>
  <c r="CC87" i="2"/>
  <c r="BT87" i="2"/>
  <c r="BU83" i="2"/>
  <c r="BV83" i="2"/>
  <c r="BW83" i="2"/>
  <c r="BX83" i="2"/>
  <c r="BY83" i="2"/>
  <c r="BZ83" i="2"/>
  <c r="CA83" i="2"/>
  <c r="CB83" i="2"/>
  <c r="CC83" i="2"/>
  <c r="BT83" i="2"/>
  <c r="BU81" i="2"/>
  <c r="BV81" i="2"/>
  <c r="BW81" i="2"/>
  <c r="BX81" i="2"/>
  <c r="BY81" i="2"/>
  <c r="BZ81" i="2"/>
  <c r="CA81" i="2"/>
  <c r="CB81" i="2"/>
  <c r="CC81" i="2"/>
  <c r="BT81" i="2"/>
  <c r="BU79" i="2"/>
  <c r="BV79" i="2"/>
  <c r="BW79" i="2"/>
  <c r="BX79" i="2"/>
  <c r="BY79" i="2"/>
  <c r="BZ79" i="2"/>
  <c r="CA79" i="2"/>
  <c r="CB79" i="2"/>
  <c r="CC79" i="2"/>
  <c r="BT79" i="2"/>
  <c r="BU77" i="2"/>
  <c r="BV77" i="2"/>
  <c r="BW77" i="2"/>
  <c r="BX77" i="2"/>
  <c r="BY77" i="2"/>
  <c r="BZ77" i="2"/>
  <c r="CA77" i="2"/>
  <c r="CB77" i="2"/>
  <c r="CC77" i="2"/>
  <c r="BT77" i="2"/>
  <c r="BU85" i="2"/>
  <c r="BV85" i="2"/>
  <c r="BW85" i="2"/>
  <c r="BX85" i="2"/>
  <c r="BY85" i="2"/>
  <c r="BZ85" i="2"/>
  <c r="CA85" i="2"/>
  <c r="CB85" i="2"/>
  <c r="CC85" i="2"/>
  <c r="BT85" i="2"/>
  <c r="CM85" i="2"/>
  <c r="CN85" i="2"/>
  <c r="CO85" i="2"/>
  <c r="CP85" i="2"/>
  <c r="CQ85" i="2"/>
  <c r="CR85" i="2"/>
  <c r="CS85" i="2"/>
  <c r="CT85" i="2"/>
  <c r="CU85" i="2"/>
  <c r="CL85" i="2"/>
  <c r="CM87" i="2"/>
  <c r="CN87" i="2"/>
  <c r="CO87" i="2"/>
  <c r="CP87" i="2"/>
  <c r="CQ87" i="2"/>
  <c r="CR87" i="2"/>
  <c r="CS87" i="2"/>
  <c r="CT87" i="2"/>
  <c r="CU87" i="2"/>
  <c r="CL87" i="2"/>
  <c r="BU70" i="2"/>
  <c r="BV70" i="2"/>
  <c r="BW70" i="2"/>
  <c r="BX70" i="2"/>
  <c r="BY70" i="2"/>
  <c r="BZ70" i="2"/>
  <c r="CA70" i="2"/>
  <c r="CB70" i="2"/>
  <c r="CC70" i="2"/>
  <c r="BT70" i="2"/>
  <c r="L4" i="10" l="1"/>
  <c r="M4" i="10" s="1"/>
  <c r="H6" i="10"/>
  <c r="I6" i="10" s="1"/>
  <c r="M11" i="10"/>
  <c r="L11" i="10"/>
  <c r="H7" i="10"/>
  <c r="I7" i="10" s="1"/>
  <c r="K7" i="10"/>
  <c r="K10" i="10"/>
  <c r="H5" i="10"/>
  <c r="I5" i="10" s="1"/>
  <c r="M3" i="10"/>
  <c r="L3" i="10"/>
  <c r="H10" i="10"/>
  <c r="I10" i="10" s="1"/>
  <c r="H8" i="10"/>
  <c r="I8" i="10" s="1"/>
  <c r="H3" i="10"/>
  <c r="I3" i="10" s="1"/>
  <c r="I4" i="10"/>
  <c r="H4" i="10"/>
  <c r="K13" i="10"/>
  <c r="K8" i="10"/>
  <c r="H12" i="10"/>
  <c r="I12" i="10" s="1"/>
  <c r="L9" i="10"/>
  <c r="M9" i="10" s="1"/>
  <c r="I11" i="10"/>
  <c r="H11" i="10"/>
  <c r="K5" i="10"/>
  <c r="I2" i="10"/>
  <c r="H2" i="10"/>
  <c r="K12" i="10"/>
  <c r="L6" i="10"/>
  <c r="M6" i="10" s="1"/>
  <c r="I9" i="10"/>
  <c r="H9" i="10"/>
  <c r="H13" i="10"/>
  <c r="I13" i="10" s="1"/>
  <c r="J10" i="11"/>
  <c r="K10" i="11" s="1"/>
  <c r="DE198" i="2"/>
  <c r="CU93" i="2"/>
  <c r="CM93" i="2"/>
  <c r="BT147" i="2"/>
  <c r="DN198" i="2"/>
  <c r="DM198" i="2"/>
  <c r="CV198" i="2"/>
  <c r="DL198" i="2"/>
  <c r="CF73" i="2"/>
  <c r="DI198" i="2"/>
  <c r="CP198" i="2"/>
  <c r="CR198" i="2"/>
  <c r="BU147" i="2"/>
  <c r="DH198" i="2"/>
  <c r="CY198" i="2"/>
  <c r="CQ198" i="2"/>
  <c r="AN52" i="10"/>
  <c r="AN53" i="10" s="1"/>
  <c r="AN54" i="10" s="1"/>
  <c r="AO50" i="10" s="1"/>
  <c r="AO55" i="10" s="1"/>
  <c r="CT93" i="2"/>
  <c r="BS147" i="2"/>
  <c r="DG198" i="2"/>
  <c r="CX198" i="2"/>
  <c r="BR147" i="2"/>
  <c r="DF198" i="2"/>
  <c r="CW198" i="2"/>
  <c r="BX147" i="2"/>
  <c r="BP147" i="2"/>
  <c r="CU198" i="2"/>
  <c r="BO147" i="2"/>
  <c r="BW147" i="2"/>
  <c r="DK198" i="2"/>
  <c r="CT198" i="2"/>
  <c r="BQ147" i="2"/>
  <c r="CO93" i="2"/>
  <c r="BV147" i="2"/>
  <c r="DJ198" i="2"/>
  <c r="CS198" i="2"/>
  <c r="AZ10" i="11"/>
  <c r="AV10" i="11"/>
  <c r="AU10" i="11"/>
  <c r="AT10" i="11"/>
  <c r="AS10" i="11"/>
  <c r="AR10" i="11"/>
  <c r="AQ10" i="11"/>
  <c r="AV16" i="11"/>
  <c r="AU16" i="11"/>
  <c r="AT16" i="11"/>
  <c r="AS16" i="11"/>
  <c r="AR16" i="11"/>
  <c r="AQ16" i="11"/>
  <c r="AV14" i="11"/>
  <c r="AU14" i="11"/>
  <c r="AT14" i="11"/>
  <c r="AS14" i="11"/>
  <c r="AR14" i="11"/>
  <c r="AQ14" i="11"/>
  <c r="AV13" i="11"/>
  <c r="AU13" i="11"/>
  <c r="AT13" i="11"/>
  <c r="AS13" i="11"/>
  <c r="AR13" i="11"/>
  <c r="AQ13" i="11"/>
  <c r="AV15" i="11"/>
  <c r="AU15" i="11"/>
  <c r="AT15" i="11"/>
  <c r="AS15" i="11"/>
  <c r="AR15" i="11"/>
  <c r="AQ15" i="11"/>
  <c r="AV18" i="11"/>
  <c r="AU18" i="11"/>
  <c r="AT18" i="11"/>
  <c r="AS18" i="11"/>
  <c r="AR18" i="11"/>
  <c r="AQ18" i="11"/>
  <c r="AV17" i="11"/>
  <c r="AU17" i="11"/>
  <c r="AT17" i="11"/>
  <c r="AS17" i="11"/>
  <c r="AR17" i="11"/>
  <c r="AQ17" i="11"/>
  <c r="AV12" i="11"/>
  <c r="AU12" i="11"/>
  <c r="AT12" i="11"/>
  <c r="AS12" i="11"/>
  <c r="AR12" i="11"/>
  <c r="AQ12" i="11"/>
  <c r="AV9" i="11"/>
  <c r="AU9" i="11"/>
  <c r="AT9" i="11"/>
  <c r="AS9" i="11"/>
  <c r="AR9" i="11"/>
  <c r="AQ9" i="11"/>
  <c r="AV11" i="11"/>
  <c r="AU11" i="11"/>
  <c r="AT11" i="11"/>
  <c r="AS11" i="11"/>
  <c r="AR11" i="11"/>
  <c r="AQ11" i="11"/>
  <c r="O3" i="12"/>
  <c r="P3" i="12"/>
  <c r="AP8" i="12"/>
  <c r="AM8" i="12"/>
  <c r="AN8" i="12" s="1"/>
  <c r="AO8" i="12" s="1"/>
  <c r="AK9" i="12" s="1"/>
  <c r="AL8" i="10"/>
  <c r="AM8" i="10" s="1"/>
  <c r="AN8" i="10" s="1"/>
  <c r="AJ9" i="10" s="1"/>
  <c r="AO9" i="10" s="1"/>
  <c r="AO8" i="10"/>
  <c r="AN97" i="10"/>
  <c r="AN98" i="10" s="1"/>
  <c r="AN104" i="10"/>
  <c r="AW12" i="10" s="1"/>
  <c r="BA97" i="10"/>
  <c r="BA98" i="10" s="1"/>
  <c r="BB94" i="10" s="1"/>
  <c r="BB97" i="10" s="1"/>
  <c r="BB98" i="10" s="1"/>
  <c r="BC94" i="10" s="1"/>
  <c r="BA105" i="10"/>
  <c r="AW13" i="10" s="1"/>
  <c r="AU10" i="10"/>
  <c r="AT10" i="10"/>
  <c r="AS10" i="10"/>
  <c r="AP10" i="10"/>
  <c r="AQ10" i="10"/>
  <c r="AR10" i="10"/>
  <c r="AU14" i="10"/>
  <c r="AT14" i="10"/>
  <c r="AS14" i="10"/>
  <c r="AP14" i="10"/>
  <c r="AQ14" i="10"/>
  <c r="AR14" i="10"/>
  <c r="AU15" i="10"/>
  <c r="AT15" i="10"/>
  <c r="AS15" i="10"/>
  <c r="AP15" i="10"/>
  <c r="AQ15" i="10"/>
  <c r="AR15" i="10"/>
  <c r="AU16" i="10"/>
  <c r="AT16" i="10"/>
  <c r="AS16" i="10"/>
  <c r="AP16" i="10"/>
  <c r="AQ16" i="10"/>
  <c r="AR16" i="10"/>
  <c r="AU17" i="10"/>
  <c r="AT17" i="10"/>
  <c r="AS17" i="10"/>
  <c r="AP17" i="10"/>
  <c r="AQ17" i="10"/>
  <c r="AR17" i="10"/>
  <c r="AU18" i="10"/>
  <c r="AT18" i="10"/>
  <c r="AS18" i="10"/>
  <c r="AP18" i="10"/>
  <c r="AQ18" i="10"/>
  <c r="AR18" i="10"/>
  <c r="AK10" i="11"/>
  <c r="AN10" i="11" s="1"/>
  <c r="AO10" i="11" s="1"/>
  <c r="CF164" i="11"/>
  <c r="AX19" i="11" s="1"/>
  <c r="G10" i="11"/>
  <c r="H10" i="11" s="1"/>
  <c r="AP61" i="11"/>
  <c r="AX8" i="11" s="1"/>
  <c r="G9" i="11"/>
  <c r="H9" i="11" s="1"/>
  <c r="G13" i="11"/>
  <c r="H13" i="11" s="1"/>
  <c r="G2" i="11"/>
  <c r="H2" i="11" s="1"/>
  <c r="G6" i="11"/>
  <c r="H6" i="11" s="1"/>
  <c r="G8" i="11"/>
  <c r="H8" i="11" s="1"/>
  <c r="G11" i="11"/>
  <c r="H11" i="11" s="1"/>
  <c r="G7" i="11"/>
  <c r="H7" i="11" s="1"/>
  <c r="G3" i="11"/>
  <c r="H3" i="11" s="1"/>
  <c r="G4" i="11"/>
  <c r="H4" i="11" s="1"/>
  <c r="G12" i="11"/>
  <c r="H12" i="11" s="1"/>
  <c r="BB99" i="10"/>
  <c r="BA101" i="10" s="1"/>
  <c r="AO94" i="10"/>
  <c r="CS93" i="2"/>
  <c r="CQ93" i="2"/>
  <c r="CP93" i="2"/>
  <c r="CR93" i="2"/>
  <c r="CL93" i="2"/>
  <c r="CN93" i="2"/>
  <c r="M2" i="10"/>
  <c r="CC234" i="2"/>
  <c r="CL234" i="2"/>
  <c r="CK234" i="2"/>
  <c r="CJ234" i="2"/>
  <c r="CI234" i="2"/>
  <c r="CH234" i="2"/>
  <c r="CG234" i="2"/>
  <c r="CF234" i="2"/>
  <c r="CE234" i="2"/>
  <c r="CD234" i="2"/>
  <c r="BO235" i="2"/>
  <c r="BX235" i="2"/>
  <c r="BW235" i="2"/>
  <c r="BV235" i="2"/>
  <c r="BU235" i="2"/>
  <c r="BT235" i="2"/>
  <c r="BS235" i="2"/>
  <c r="BR235" i="2"/>
  <c r="BQ235" i="2"/>
  <c r="BP235" i="2"/>
  <c r="CB198" i="2"/>
  <c r="CK198" i="2"/>
  <c r="CJ198" i="2"/>
  <c r="CI198" i="2"/>
  <c r="CH198" i="2"/>
  <c r="CG198" i="2"/>
  <c r="CF198" i="2"/>
  <c r="CE198" i="2"/>
  <c r="CD198" i="2"/>
  <c r="CC198" i="2"/>
  <c r="BO193" i="2"/>
  <c r="BX193" i="2"/>
  <c r="BW193" i="2"/>
  <c r="BV193" i="2"/>
  <c r="BU193" i="2"/>
  <c r="BT193" i="2"/>
  <c r="BS193" i="2"/>
  <c r="BR193" i="2"/>
  <c r="BQ193" i="2"/>
  <c r="BP193" i="2"/>
  <c r="DF140" i="2"/>
  <c r="DO140" i="2"/>
  <c r="DN140" i="2"/>
  <c r="DM140" i="2"/>
  <c r="DL140" i="2"/>
  <c r="DK140" i="2"/>
  <c r="DJ140" i="2"/>
  <c r="DI140" i="2"/>
  <c r="DH140" i="2"/>
  <c r="DG140" i="2"/>
  <c r="CR140" i="2"/>
  <c r="CR141" i="2" s="1"/>
  <c r="DA140" i="2"/>
  <c r="DA141" i="2" s="1"/>
  <c r="CZ140" i="2"/>
  <c r="CZ141" i="2" s="1"/>
  <c r="CY140" i="2"/>
  <c r="CY141" i="2" s="1"/>
  <c r="CY142" i="2" s="1"/>
  <c r="CX140" i="2"/>
  <c r="CX141" i="2" s="1"/>
  <c r="CW140" i="2"/>
  <c r="CW141" i="2" s="1"/>
  <c r="CV140" i="2"/>
  <c r="CV141" i="2" s="1"/>
  <c r="CU140" i="2"/>
  <c r="CU141" i="2" s="1"/>
  <c r="CT140" i="2"/>
  <c r="CT141" i="2" s="1"/>
  <c r="CS140" i="2"/>
  <c r="CS141" i="2" s="1"/>
  <c r="CC140" i="2"/>
  <c r="CL140" i="2"/>
  <c r="CK140" i="2"/>
  <c r="CJ140" i="2"/>
  <c r="CI140" i="2"/>
  <c r="CH140" i="2"/>
  <c r="CG140" i="2"/>
  <c r="CF140" i="2"/>
  <c r="CE140" i="2"/>
  <c r="CD140" i="2"/>
  <c r="DF106" i="2"/>
  <c r="DO106" i="2"/>
  <c r="DN106" i="2"/>
  <c r="DM106" i="2"/>
  <c r="DL106" i="2"/>
  <c r="DK106" i="2"/>
  <c r="DJ106" i="2"/>
  <c r="DI106" i="2"/>
  <c r="DH106" i="2"/>
  <c r="DG106" i="2"/>
  <c r="L8" i="10" l="1"/>
  <c r="M8" i="10" s="1"/>
  <c r="L5" i="10"/>
  <c r="M5" i="10" s="1"/>
  <c r="K15" i="10"/>
  <c r="M19" i="10"/>
  <c r="L13" i="10"/>
  <c r="M13" i="10" s="1"/>
  <c r="L12" i="10"/>
  <c r="M12" i="10" s="1"/>
  <c r="L10" i="10"/>
  <c r="M10" i="10" s="1"/>
  <c r="L7" i="10"/>
  <c r="M7" i="10" s="1"/>
  <c r="CZ142" i="2"/>
  <c r="AN57" i="10"/>
  <c r="AW8" i="10" s="1"/>
  <c r="AU8" i="10" s="1"/>
  <c r="CW142" i="2"/>
  <c r="AO53" i="10"/>
  <c r="AO54" i="10" s="1"/>
  <c r="AP50" i="10" s="1"/>
  <c r="AP53" i="10" s="1"/>
  <c r="AP54" i="10" s="1"/>
  <c r="AQ50" i="10" s="1"/>
  <c r="AQ53" i="10" s="1"/>
  <c r="AQ54" i="10" s="1"/>
  <c r="AM9" i="10"/>
  <c r="AN9" i="10" s="1"/>
  <c r="AJ10" i="10" s="1"/>
  <c r="AO10" i="10" s="1"/>
  <c r="BE14" i="11"/>
  <c r="BD14" i="11"/>
  <c r="BC14" i="11"/>
  <c r="AV8" i="11"/>
  <c r="AU8" i="11"/>
  <c r="AT8" i="11"/>
  <c r="AS8" i="11"/>
  <c r="AR8" i="11"/>
  <c r="AQ8" i="11"/>
  <c r="AV19" i="11"/>
  <c r="AU19" i="11"/>
  <c r="AT19" i="11"/>
  <c r="AS19" i="11"/>
  <c r="AR19" i="11"/>
  <c r="AQ19" i="11"/>
  <c r="AN9" i="12"/>
  <c r="AO9" i="12" s="1"/>
  <c r="AK10" i="12" s="1"/>
  <c r="AP9" i="12"/>
  <c r="G6" i="12"/>
  <c r="H6" i="12" s="1"/>
  <c r="G11" i="12"/>
  <c r="H11" i="12" s="1"/>
  <c r="G10" i="12"/>
  <c r="H10" i="12" s="1"/>
  <c r="G2" i="12"/>
  <c r="H2" i="12" s="1"/>
  <c r="G5" i="12"/>
  <c r="H5" i="12" s="1"/>
  <c r="G9" i="12"/>
  <c r="H9" i="12" s="1"/>
  <c r="G12" i="12"/>
  <c r="H12" i="12" s="1"/>
  <c r="G3" i="12"/>
  <c r="H3" i="12" s="1"/>
  <c r="G8" i="12"/>
  <c r="H8" i="12" s="1"/>
  <c r="G13" i="12"/>
  <c r="H13" i="12" s="1"/>
  <c r="G4" i="12"/>
  <c r="H4" i="12" s="1"/>
  <c r="G7" i="12"/>
  <c r="H7" i="12" s="1"/>
  <c r="J13" i="12"/>
  <c r="K13" i="12" s="1"/>
  <c r="J12" i="12"/>
  <c r="K12" i="12" s="1"/>
  <c r="J11" i="12"/>
  <c r="K11" i="12" s="1"/>
  <c r="J10" i="12"/>
  <c r="K10" i="12" s="1"/>
  <c r="J9" i="12"/>
  <c r="K9" i="12" s="1"/>
  <c r="J8" i="12"/>
  <c r="K8" i="12" s="1"/>
  <c r="J7" i="12"/>
  <c r="K7" i="12" s="1"/>
  <c r="J6" i="12"/>
  <c r="K6" i="12" s="1"/>
  <c r="J5" i="12"/>
  <c r="K5" i="12" s="1"/>
  <c r="J4" i="12"/>
  <c r="K4" i="12" s="1"/>
  <c r="J3" i="12"/>
  <c r="K3" i="12" s="1"/>
  <c r="J2" i="12"/>
  <c r="K2" i="12" s="1"/>
  <c r="AZ13" i="10"/>
  <c r="AP13" i="10"/>
  <c r="AU13" i="10"/>
  <c r="AT13" i="10"/>
  <c r="AS13" i="10"/>
  <c r="AQ13" i="10"/>
  <c r="AR13" i="10"/>
  <c r="AU12" i="10"/>
  <c r="AT12" i="10"/>
  <c r="AS12" i="10"/>
  <c r="AP12" i="10"/>
  <c r="AQ12" i="10"/>
  <c r="AR12" i="10"/>
  <c r="AK11" i="11"/>
  <c r="AN11" i="11" s="1"/>
  <c r="AO11" i="11" s="1"/>
  <c r="AP10" i="11"/>
  <c r="BC99" i="10"/>
  <c r="BC97" i="10"/>
  <c r="BC98" i="10" s="1"/>
  <c r="BD94" i="10" s="1"/>
  <c r="AO97" i="10"/>
  <c r="AO98" i="10" s="1"/>
  <c r="AP94" i="10" s="1"/>
  <c r="AO99" i="10"/>
  <c r="CR142" i="2"/>
  <c r="AP8" i="10" l="1"/>
  <c r="AQ8" i="10"/>
  <c r="AR8" i="10"/>
  <c r="AT8" i="10"/>
  <c r="AS8" i="10"/>
  <c r="AQ55" i="10"/>
  <c r="AP55" i="10"/>
  <c r="AN10" i="12"/>
  <c r="AO10" i="12" s="1"/>
  <c r="AK11" i="12" s="1"/>
  <c r="AP10" i="12"/>
  <c r="BH10" i="10"/>
  <c r="BG10" i="10"/>
  <c r="BF10" i="10"/>
  <c r="AP11" i="11"/>
  <c r="BD99" i="10"/>
  <c r="BD97" i="10"/>
  <c r="BD98" i="10" s="1"/>
  <c r="BE94" i="10" s="1"/>
  <c r="AP97" i="10"/>
  <c r="AP98" i="10" s="1"/>
  <c r="AQ94" i="10" s="1"/>
  <c r="AP99" i="10"/>
  <c r="AM10" i="10"/>
  <c r="AN10" i="10" s="1"/>
  <c r="AR50" i="10"/>
  <c r="AR53" i="10" s="1"/>
  <c r="AR54" i="10" s="1"/>
  <c r="AS50" i="10" s="1"/>
  <c r="AK12" i="11"/>
  <c r="AN11" i="12" l="1"/>
  <c r="AO11" i="12" s="1"/>
  <c r="AK12" i="12" s="1"/>
  <c r="AP11" i="12"/>
  <c r="BE97" i="10"/>
  <c r="BE98" i="10" s="1"/>
  <c r="BF94" i="10" s="1"/>
  <c r="BE99" i="10"/>
  <c r="AJ11" i="10"/>
  <c r="AM11" i="10" s="1"/>
  <c r="AN11" i="10" s="1"/>
  <c r="AQ99" i="10"/>
  <c r="AQ97" i="10"/>
  <c r="AQ98" i="10" s="1"/>
  <c r="AR94" i="10" s="1"/>
  <c r="AR55" i="10"/>
  <c r="AS53" i="10"/>
  <c r="AS54" i="10" s="1"/>
  <c r="AS55" i="10"/>
  <c r="AN12" i="12"/>
  <c r="AO12" i="12" s="1"/>
  <c r="AP12" i="12"/>
  <c r="AN12" i="11"/>
  <c r="AO12" i="11" s="1"/>
  <c r="AP12" i="11"/>
  <c r="AO11" i="10" l="1"/>
  <c r="BF99" i="10"/>
  <c r="BF97" i="10"/>
  <c r="BF98" i="10" s="1"/>
  <c r="BG94" i="10" s="1"/>
  <c r="AR97" i="10"/>
  <c r="AR98" i="10" s="1"/>
  <c r="AS94" i="10" s="1"/>
  <c r="AR99" i="10"/>
  <c r="AT50" i="10"/>
  <c r="AT53" i="10" s="1"/>
  <c r="AT54" i="10" s="1"/>
  <c r="AU50" i="10" s="1"/>
  <c r="AK13" i="12"/>
  <c r="AK13" i="11"/>
  <c r="AJ12" i="10"/>
  <c r="BG97" i="10" l="1"/>
  <c r="BG98" i="10" s="1"/>
  <c r="BH94" i="10" s="1"/>
  <c r="BG99" i="10"/>
  <c r="AS99" i="10"/>
  <c r="AS97" i="10"/>
  <c r="AS98" i="10" s="1"/>
  <c r="AT94" i="10" s="1"/>
  <c r="AT55" i="10"/>
  <c r="AU53" i="10"/>
  <c r="AU54" i="10" s="1"/>
  <c r="AV50" i="10" s="1"/>
  <c r="AU55" i="10"/>
  <c r="AN13" i="12"/>
  <c r="AO13" i="12" s="1"/>
  <c r="AP13" i="12"/>
  <c r="AN13" i="11"/>
  <c r="AO13" i="11" s="1"/>
  <c r="AP13" i="11"/>
  <c r="AM12" i="10"/>
  <c r="AN12" i="10" s="1"/>
  <c r="AO12" i="10"/>
  <c r="BH99" i="10" l="1"/>
  <c r="BH97" i="10"/>
  <c r="BH98" i="10" s="1"/>
  <c r="BI94" i="10" s="1"/>
  <c r="AT99" i="10"/>
  <c r="AT97" i="10"/>
  <c r="AT98" i="10" s="1"/>
  <c r="AU94" i="10" s="1"/>
  <c r="AV53" i="10"/>
  <c r="AV54" i="10" s="1"/>
  <c r="AW50" i="10" s="1"/>
  <c r="AV55" i="10"/>
  <c r="AK14" i="12"/>
  <c r="AK14" i="11"/>
  <c r="AJ13" i="10"/>
  <c r="BI97" i="10" l="1"/>
  <c r="BI98" i="10" s="1"/>
  <c r="BJ94" i="10" s="1"/>
  <c r="BI99" i="10"/>
  <c r="AU97" i="10"/>
  <c r="AU98" i="10" s="1"/>
  <c r="AV94" i="10" s="1"/>
  <c r="AU99" i="10"/>
  <c r="AW53" i="10"/>
  <c r="AW54" i="10" s="1"/>
  <c r="AW55" i="10"/>
  <c r="AN14" i="12"/>
  <c r="AO14" i="12" s="1"/>
  <c r="AP14" i="12"/>
  <c r="AN14" i="11"/>
  <c r="AO14" i="11" s="1"/>
  <c r="AP14" i="11"/>
  <c r="AM13" i="10"/>
  <c r="AN13" i="10" s="1"/>
  <c r="AO13" i="10"/>
  <c r="BJ97" i="10" l="1"/>
  <c r="BJ98" i="10" s="1"/>
  <c r="AZ102" i="10" s="1"/>
  <c r="BJ99" i="10"/>
  <c r="AV97" i="10"/>
  <c r="AV98" i="10" s="1"/>
  <c r="AW94" i="10" s="1"/>
  <c r="AV99" i="10"/>
  <c r="AK15" i="12"/>
  <c r="AK15" i="11"/>
  <c r="AJ14" i="10"/>
  <c r="AW97" i="10" l="1"/>
  <c r="AW98" i="10" s="1"/>
  <c r="AW99" i="10"/>
  <c r="AN15" i="12"/>
  <c r="AO15" i="12" s="1"/>
  <c r="AP15" i="12"/>
  <c r="AN15" i="11"/>
  <c r="AO15" i="11" s="1"/>
  <c r="AP15" i="11"/>
  <c r="AM14" i="10"/>
  <c r="AN14" i="10" s="1"/>
  <c r="AO14" i="10"/>
  <c r="AK16" i="12" l="1"/>
  <c r="AK16" i="11"/>
  <c r="AJ15" i="10"/>
  <c r="AN16" i="12" l="1"/>
  <c r="AO16" i="12" s="1"/>
  <c r="AP16" i="12"/>
  <c r="AN16" i="11"/>
  <c r="AO16" i="11" s="1"/>
  <c r="AP16" i="11"/>
  <c r="AM15" i="10"/>
  <c r="AN15" i="10" s="1"/>
  <c r="AO15" i="10"/>
  <c r="AK17" i="12" l="1"/>
  <c r="AK17" i="11"/>
  <c r="AJ16" i="10"/>
  <c r="AN17" i="12" l="1"/>
  <c r="AO17" i="12" s="1"/>
  <c r="AP17" i="12"/>
  <c r="AN17" i="11"/>
  <c r="AO17" i="11" s="1"/>
  <c r="AP17" i="11"/>
  <c r="AM16" i="10"/>
  <c r="AN16" i="10" s="1"/>
  <c r="AO16" i="10"/>
  <c r="AN101" i="10" l="1"/>
  <c r="AK18" i="12"/>
  <c r="AK18" i="11"/>
  <c r="AJ17" i="10"/>
  <c r="AN18" i="12" l="1"/>
  <c r="AO18" i="12" s="1"/>
  <c r="AP18" i="12"/>
  <c r="AN18" i="11"/>
  <c r="AO18" i="11" s="1"/>
  <c r="AP18" i="11"/>
  <c r="AM17" i="10"/>
  <c r="AN17" i="10" s="1"/>
  <c r="AO17" i="10"/>
  <c r="AK19" i="12" l="1"/>
  <c r="AK19" i="11"/>
  <c r="AJ18" i="10"/>
  <c r="AN19" i="12" l="1"/>
  <c r="AO19" i="12" s="1"/>
  <c r="AP19" i="12"/>
  <c r="AN19" i="11"/>
  <c r="AO19" i="11" s="1"/>
  <c r="AP19" i="11"/>
  <c r="AM18" i="10"/>
  <c r="AN18" i="10" s="1"/>
  <c r="AO18" i="10"/>
  <c r="AE9" i="11" l="1"/>
  <c r="AE10" i="11"/>
  <c r="AE11" i="11"/>
  <c r="AE10" i="12"/>
  <c r="AE11" i="12"/>
  <c r="AE9" i="12"/>
  <c r="AJ19" i="10"/>
  <c r="AM19" i="10" l="1"/>
  <c r="AN19" i="10" s="1"/>
  <c r="AD11" i="10" s="1"/>
  <c r="AO19" i="10"/>
  <c r="AD10" i="10" l="1"/>
  <c r="AD9" i="10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087EE32-4EA0-4520-B675-F031E13A7925}" keepAlive="1" name="Query - Energia-Produção" description="Connection to the 'Energia-Produção' query in the workbook." type="5" refreshedVersion="0" background="1" saveData="1">
    <dbPr connection="Provider=Microsoft.Mashup.OleDb.1;Data Source=$Workbook$;Location=Energia-Produção;Extended Properties=&quot;&quot;" command="SELECT * FROM [Energia-Produção]"/>
  </connection>
  <connection id="2" xr16:uid="{8DF98B62-8CF3-4564-9E7D-81C4EC3BE867}" keepAlive="1" name="Query - PVdata_summary_37 809_-25 473_SA2_crystSi_0,280kWp_14_27 (opt)deg_3 (opt)deg" description="Connection to the 'PVdata_summary_37 809_-25 473_SA2_crystSi_0,280kWp_14_27 (opt)deg_3 (opt)deg' query in the workbook." type="5" refreshedVersion="0" background="1" saveData="1">
    <dbPr connection="Provider=Microsoft.Mashup.OleDb.1;Data Source=$Workbook$;Location=&quot;PVdata_summary_37 809_-25 473_SA2_crystSi_0,280kWp_14_27 (opt)deg_3 (opt)deg&quot;;Extended Properties=&quot;&quot;" command="SELECT * FROM [PVdata_summary_37 809_-25 473_SA2_crystSi_0,280kWp_14_27 (opt)deg_3 (opt)deg]"/>
  </connection>
  <connection id="3" xr16:uid="{CB1BB8B7-F27F-4EFD-96DC-4A63F9CBCF7A}" keepAlive="1" name="Query - PVdata_summary_37 809_-25 473_SA2_crystSi_0,340kWp_14_27 (opt)deg_3 (opt)deg" description="Connection to the 'PVdata_summary_37 809_-25 473_SA2_crystSi_0,340kWp_14_27 (opt)deg_3 (opt)deg' query in the workbook." type="5" refreshedVersion="0" background="1" saveData="1">
    <dbPr connection="Provider=Microsoft.Mashup.OleDb.1;Data Source=$Workbook$;Location=&quot;PVdata_summary_37 809_-25 473_SA2_crystSi_0,340kWp_14_27 (opt)deg_3 (opt)deg&quot;;Extended Properties=&quot;&quot;" command="SELECT * FROM [PVdata_summary_37 809_-25 473_SA2_crystSi_0,340kWp_14_27 (opt)deg_3 (opt)deg]"/>
  </connection>
  <connection id="4" xr16:uid="{482FE21F-E20C-4563-9AEF-5F043D700C77}" keepAlive="1" name="Query - PVdata_summary_37 809_-25 473_SA2_crystSi_1kWp_14_27 (opt)deg_3 (opt)deg" description="Connection to the 'PVdata_summary_37 809_-25 473_SA2_crystSi_1kWp_14_27 (opt)deg_3 (opt)deg' query in the workbook." type="5" refreshedVersion="0" background="1" saveData="1">
    <dbPr connection="Provider=Microsoft.Mashup.OleDb.1;Data Source=$Workbook$;Location=&quot;PVdata_summary_37 809_-25 473_SA2_crystSi_1kWp_14_27 (opt)deg_3 (opt)deg&quot;;Extended Properties=&quot;&quot;" command="SELECT * FROM [PVdata_summary_37 809_-25 473_SA2_crystSi_1kWp_14_27 (opt)deg_3 (opt)deg]"/>
  </connection>
  <connection id="5" xr16:uid="{C694644F-8733-4020-9347-DAFE2A027D16}" keepAlive="1" name="Query - PVdata_summary_38 580_-28 710_SA2_crystSi_0,340kWp_14_29 (opt)deg_-2 (opt)deg" description="Connection to the 'PVdata_summary_38 580_-28 710_SA2_crystSi_0,340kWp_14_29 (opt)deg_-2 (opt)deg' query in the workbook." type="5" refreshedVersion="0" background="1" saveData="1">
    <dbPr connection="Provider=Microsoft.Mashup.OleDb.1;Data Source=$Workbook$;Location=&quot;PVdata_summary_38 580_-28 710_SA2_crystSi_0,340kWp_14_29 (opt)deg_-2 (opt)deg&quot;;Extended Properties=&quot;&quot;" command="SELECT * FROM [PVdata_summary_38 580_-28 710_SA2_crystSi_0,340kWp_14_29 (opt)deg_-2 (opt)deg]"/>
  </connection>
  <connection id="6" xr16:uid="{660C292D-F130-43C2-AA15-A190D355266F}" keepAlive="1" name="Query - PVdata_summary_39 438_-31 196_SA2_crystSi_0,34kWp_14_31 (opt)deg_5 (opt)deg" description="Connection to the 'PVdata_summary_39 438_-31 196_SA2_crystSi_0,34kWp_14_31 (opt)deg_5 (opt)deg' query in the workbook." type="5" refreshedVersion="0" background="1" saveData="1">
    <dbPr connection="Provider=Microsoft.Mashup.OleDb.1;Data Source=$Workbook$;Location=&quot;PVdata_summary_39 438_-31 196_SA2_crystSi_0,34kWp_14_31 (opt)deg_5 (opt)deg&quot;;Extended Properties=&quot;&quot;" command="SELECT * FROM [PVdata_summary_39 438_-31 196_SA2_crystSi_0,34kWp_14_31 (opt)deg_5 (opt)deg]"/>
  </connection>
</connections>
</file>

<file path=xl/sharedStrings.xml><?xml version="1.0" encoding="utf-8"?>
<sst xmlns="http://schemas.openxmlformats.org/spreadsheetml/2006/main" count="4210" uniqueCount="518">
  <si>
    <t>Produção de Energia Eléctrica</t>
  </si>
  <si>
    <t>Anos</t>
  </si>
  <si>
    <t xml:space="preserve">Dados 
mensais
para
o
ano
de
2022
</t>
  </si>
  <si>
    <t>Analises:</t>
  </si>
  <si>
    <t> 1987</t>
  </si>
  <si>
    <t> 1988</t>
  </si>
  <si>
    <t> 1989</t>
  </si>
  <si>
    <t> 1990</t>
  </si>
  <si>
    <t> 1991</t>
  </si>
  <si>
    <t> 1992</t>
  </si>
  <si>
    <t> 1993</t>
  </si>
  <si>
    <t> 1994</t>
  </si>
  <si>
    <t> 1995</t>
  </si>
  <si>
    <t> 1996</t>
  </si>
  <si>
    <t> 1997</t>
  </si>
  <si>
    <t> 1998</t>
  </si>
  <si>
    <t> 1999</t>
  </si>
  <si>
    <t> 2000</t>
  </si>
  <si>
    <t> 2001</t>
  </si>
  <si>
    <t> 2002</t>
  </si>
  <si>
    <t> 2003</t>
  </si>
  <si>
    <t> 2004</t>
  </si>
  <si>
    <t> 2005</t>
  </si>
  <si>
    <t> 2006</t>
  </si>
  <si>
    <t> 2007</t>
  </si>
  <si>
    <t> 2008</t>
  </si>
  <si>
    <t> 2009</t>
  </si>
  <si>
    <t> 2010</t>
  </si>
  <si>
    <t> 2011</t>
  </si>
  <si>
    <t> 2012</t>
  </si>
  <si>
    <t> 2013</t>
  </si>
  <si>
    <t> 2014</t>
  </si>
  <si>
    <t> 2015</t>
  </si>
  <si>
    <t> 2016</t>
  </si>
  <si>
    <t> 2017</t>
  </si>
  <si>
    <t> 2018</t>
  </si>
  <si>
    <t> 2019</t>
  </si>
  <si>
    <t> 2020</t>
  </si>
  <si>
    <t> 2021</t>
  </si>
  <si>
    <t> 2022</t>
  </si>
  <si>
    <t> 2023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</si>
  <si>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</si>
  <si>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</si>
  <si>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</si>
  <si>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</si>
  <si>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</si>
  <si>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</si>
  <si>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</si>
  <si>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</si>
  <si>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</si>
  <si>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</si>
  <si>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</si>
  <si>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</si>
  <si>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Açores</t>
  </si>
  <si>
    <t>Biogas</t>
  </si>
  <si>
    <t>Biogás</t>
  </si>
  <si>
    <t>WaveEnergy</t>
  </si>
  <si>
    <t>0</t>
  </si>
  <si>
    <t>Central das Ondas</t>
  </si>
  <si>
    <t>Eólica</t>
  </si>
  <si>
    <t>Wind</t>
  </si>
  <si>
    <t>Fuel</t>
  </si>
  <si>
    <t>Fuel oil</t>
  </si>
  <si>
    <t>Gasóleo</t>
  </si>
  <si>
    <t>='São Miguel'!</t>
  </si>
  <si>
    <t>=((AG8/31+)($AH$8/31+'São Miguel'!$CR$81)*'São Miguel'!CL86)-'São Miguel'!CL85</t>
  </si>
  <si>
    <t>Diesel</t>
  </si>
  <si>
    <t>Geotérmica</t>
  </si>
  <si>
    <t>Geothermal</t>
  </si>
  <si>
    <t>Hidríca</t>
  </si>
  <si>
    <t>Hydro</t>
  </si>
  <si>
    <t>Ind. - Eólica</t>
  </si>
  <si>
    <t>Ind.0Eólica</t>
  </si>
  <si>
    <t>Ind. - Fotovoltaica</t>
  </si>
  <si>
    <t>Photovoltaic</t>
  </si>
  <si>
    <t>Ind. - Resíduos</t>
  </si>
  <si>
    <t>Ind.0Resíduos</t>
  </si>
  <si>
    <t>Micro - Eólica</t>
  </si>
  <si>
    <t>Micro0Eólica</t>
  </si>
  <si>
    <t>Micro - Fotovoltaica</t>
  </si>
  <si>
    <t>Micro0Fotovoltaica</t>
  </si>
  <si>
    <t>Mini - Eólica</t>
  </si>
  <si>
    <t>Mini0Eólica</t>
  </si>
  <si>
    <t>Mini - Fotovoltaica</t>
  </si>
  <si>
    <t>Mini0Fotovoltaica</t>
  </si>
  <si>
    <t>Térmica Fuel Adq. (SINAGA)</t>
  </si>
  <si>
    <t>TérmicaFuelAdq.(SINAGA)</t>
  </si>
  <si>
    <t>Total</t>
  </si>
  <si>
    <t xml:space="preserve">Renewable </t>
  </si>
  <si>
    <t>share de Renovaveis</t>
  </si>
  <si>
    <t>Fontes Nao Renovaveis</t>
  </si>
  <si>
    <t>NºHABITANTES</t>
  </si>
  <si>
    <t>137 133</t>
  </si>
  <si>
    <t>Solar</t>
  </si>
  <si>
    <t>perfil de consumo</t>
  </si>
  <si>
    <t>Analise 2: Metodo PAPER 2</t>
  </si>
  <si>
    <t>Consumo de Energia Eléctrica</t>
  </si>
  <si>
    <t>Dados/
Graficos</t>
  </si>
  <si>
    <t>método 1</t>
  </si>
  <si>
    <t>MIT</t>
  </si>
  <si>
    <t>meses do ano</t>
  </si>
  <si>
    <t>Intervalo de dias</t>
  </si>
  <si>
    <t>Totais</t>
  </si>
  <si>
    <t>janeiro</t>
  </si>
  <si>
    <t>"1-31"</t>
  </si>
  <si>
    <t>fevreiro</t>
  </si>
  <si>
    <t>"32-59"</t>
  </si>
  <si>
    <t>Comércio e Serviços</t>
  </si>
  <si>
    <t xml:space="preserve">março </t>
  </si>
  <si>
    <t>"60-90"</t>
  </si>
  <si>
    <t>Cons. Próprio (Industrial)</t>
  </si>
  <si>
    <t>abril</t>
  </si>
  <si>
    <t>"91-120"</t>
  </si>
  <si>
    <t>Domésticos</t>
  </si>
  <si>
    <t>maio</t>
  </si>
  <si>
    <t>"121-151"</t>
  </si>
  <si>
    <t>Iluminação Pública</t>
  </si>
  <si>
    <t xml:space="preserve">junho </t>
  </si>
  <si>
    <t>"152-181"</t>
  </si>
  <si>
    <t>Industriais</t>
  </si>
  <si>
    <t>julho</t>
  </si>
  <si>
    <t>182-212"</t>
  </si>
  <si>
    <t>Mobilidade Elétrica</t>
  </si>
  <si>
    <t>agosto</t>
  </si>
  <si>
    <t>"213-243"</t>
  </si>
  <si>
    <t>Serviços Públicos</t>
  </si>
  <si>
    <t>setembro</t>
  </si>
  <si>
    <t>"244-273"</t>
  </si>
  <si>
    <t>outubro</t>
  </si>
  <si>
    <t>"274-304"</t>
  </si>
  <si>
    <t>novembro</t>
  </si>
  <si>
    <t>"305-334"</t>
  </si>
  <si>
    <t>ConsumodeEnergiaEléctrica</t>
  </si>
  <si>
    <t>dezembro</t>
  </si>
  <si>
    <t>"335-365"</t>
  </si>
  <si>
    <t>ComércioeServiços</t>
  </si>
  <si>
    <t>Cons.Próprio(Industrial)</t>
  </si>
  <si>
    <t>IluminaçãoPública</t>
  </si>
  <si>
    <t>MobilidadeElétrica</t>
  </si>
  <si>
    <t>ServiçosPúblicos</t>
  </si>
  <si>
    <t>Janeiro:</t>
  </si>
  <si>
    <t>*dados podem ter um erro</t>
  </si>
  <si>
    <t>Fevereiro</t>
  </si>
  <si>
    <t>Turbina:</t>
  </si>
  <si>
    <t>ENERCON E-44</t>
  </si>
  <si>
    <t>cut in</t>
  </si>
  <si>
    <t>3 m/s</t>
  </si>
  <si>
    <t>cut out</t>
  </si>
  <si>
    <t>34 m/s</t>
  </si>
  <si>
    <t>val time step</t>
  </si>
  <si>
    <t>Encontrar o dia medio de cada mes, com uma descritização de 11 time steps</t>
  </si>
  <si>
    <t>Produção de sao miguel com os meses salientados</t>
  </si>
  <si>
    <t>h</t>
  </si>
  <si>
    <t>Time step (n)</t>
  </si>
  <si>
    <t>T1</t>
  </si>
  <si>
    <t>T2</t>
  </si>
  <si>
    <t>T3</t>
  </si>
  <si>
    <t>T4</t>
  </si>
  <si>
    <t>T5</t>
  </si>
  <si>
    <t>T6</t>
  </si>
  <si>
    <t>T7</t>
  </si>
  <si>
    <t>T8</t>
  </si>
  <si>
    <t>T9</t>
  </si>
  <si>
    <t>T10</t>
  </si>
  <si>
    <t>Janeiro</t>
  </si>
  <si>
    <t>Fevreiro</t>
  </si>
  <si>
    <t>"-verificam se poucos momentos em q Vvento &lt; cut in"</t>
  </si>
  <si>
    <t>Março</t>
  </si>
  <si>
    <t>assumindo que hidro e geo tem fornecimento const</t>
  </si>
  <si>
    <t>Abril</t>
  </si>
  <si>
    <t>Geo</t>
  </si>
  <si>
    <t>-&gt;</t>
  </si>
  <si>
    <t>Hidro</t>
  </si>
  <si>
    <t>Maio</t>
  </si>
  <si>
    <t>media diaria</t>
  </si>
  <si>
    <t>Total Consumo</t>
  </si>
  <si>
    <t>kWh</t>
  </si>
  <si>
    <t>Total Eólica</t>
  </si>
  <si>
    <t>Total Solar</t>
  </si>
  <si>
    <t>Junho</t>
  </si>
  <si>
    <t>Julho</t>
  </si>
  <si>
    <t>Consumo</t>
  </si>
  <si>
    <t>total cons</t>
  </si>
  <si>
    <t>Agosto</t>
  </si>
  <si>
    <t>Éolica (%)</t>
  </si>
  <si>
    <t>Éolica (tot)</t>
  </si>
  <si>
    <t>Total Eolic</t>
  </si>
  <si>
    <t>Setembro</t>
  </si>
  <si>
    <t>Total solar</t>
  </si>
  <si>
    <t>solar tot</t>
  </si>
  <si>
    <t>Total hidro</t>
  </si>
  <si>
    <t>Outubro</t>
  </si>
  <si>
    <t>total geo</t>
  </si>
  <si>
    <t>Novembro</t>
  </si>
  <si>
    <t>tot Ren</t>
  </si>
  <si>
    <t>Dezembro</t>
  </si>
  <si>
    <t>dados meterologicos:</t>
  </si>
  <si>
    <t>https://redehidro.ambiente.azores.gov.pt/default.asp#</t>
  </si>
  <si>
    <t>Junho:</t>
  </si>
  <si>
    <t>Abril:</t>
  </si>
  <si>
    <t>Maio:</t>
  </si>
  <si>
    <t>Eolica</t>
  </si>
  <si>
    <t xml:space="preserve">Consumo </t>
  </si>
  <si>
    <t>solar</t>
  </si>
  <si>
    <t>Delta</t>
  </si>
  <si>
    <t>FALLTA ANALISE AQUI</t>
  </si>
  <si>
    <t>val a armazenar</t>
  </si>
  <si>
    <t>Ammount to store:</t>
  </si>
  <si>
    <t>\</t>
  </si>
  <si>
    <t>Para sao miguel, 821 baterias, assumindo inversores com rendimento de 80% conseguiria se ter um mes de maio completamente abastecido a energia renovavel</t>
  </si>
  <si>
    <t>BAT1</t>
  </si>
  <si>
    <t>BAT2</t>
  </si>
  <si>
    <t>BAT3</t>
  </si>
  <si>
    <t>Molten Salts (ton)</t>
  </si>
  <si>
    <t>Amonia (L)</t>
  </si>
  <si>
    <t>Julho:</t>
  </si>
  <si>
    <t>Renewable [kWh]</t>
  </si>
  <si>
    <t>Demand [kWh]</t>
  </si>
  <si>
    <t>Highest difference</t>
  </si>
  <si>
    <t xml:space="preserve"> Total Wind Production [kWh]</t>
  </si>
  <si>
    <t>Production per wind turbine [MWh]</t>
  </si>
  <si>
    <t>Number of turbines needed</t>
  </si>
  <si>
    <t>Number of turbines to install</t>
  </si>
  <si>
    <t>Total wind turbine production</t>
  </si>
  <si>
    <t xml:space="preserve"> Production per PV [kWh]</t>
  </si>
  <si>
    <t xml:space="preserve"> Number of PV panels</t>
  </si>
  <si>
    <t>Number of PVs to install</t>
  </si>
  <si>
    <t>Total PV production</t>
  </si>
  <si>
    <t>Photovoltaic [MWh]</t>
  </si>
  <si>
    <t>Wind [MWh]</t>
  </si>
  <si>
    <t>Number of wind turbines previous installed</t>
  </si>
  <si>
    <t>%</t>
  </si>
  <si>
    <t xml:space="preserve">Renewable + </t>
  </si>
  <si>
    <t>900 kW</t>
  </si>
  <si>
    <t>9 MW</t>
  </si>
  <si>
    <t>BAT-1</t>
  </si>
  <si>
    <t>tem q ser multiplicada por 5 (nº de modelos)</t>
  </si>
  <si>
    <t>Valor máximo de armazenamento/Baterias - Valor Necessario</t>
  </si>
  <si>
    <t>tudo em kWh</t>
  </si>
  <si>
    <t>Ammount to store</t>
  </si>
  <si>
    <t>Nº PVs</t>
  </si>
  <si>
    <t>Nº Wind Turbines</t>
  </si>
  <si>
    <t>*</t>
  </si>
  <si>
    <t>Numero de BAT equivalentes</t>
  </si>
  <si>
    <t>Cenário de 100% Baterias</t>
  </si>
  <si>
    <t>prod paineis novos</t>
  </si>
  <si>
    <t>prod turbinas novas</t>
  </si>
  <si>
    <t>produçao renovaveis orig</t>
  </si>
  <si>
    <t>Armazenamento antes</t>
  </si>
  <si>
    <t>Armazenamento + Delta</t>
  </si>
  <si>
    <t>Armazenamento Depois</t>
  </si>
  <si>
    <t>Energia em falta</t>
  </si>
  <si>
    <t>BAT-2</t>
  </si>
  <si>
    <t>BAT-3</t>
  </si>
  <si>
    <t>MCS (ton)</t>
  </si>
  <si>
    <t>Salt Hydrates(m3)</t>
  </si>
  <si>
    <t>amonia (l)</t>
  </si>
  <si>
    <t>total a armazenar</t>
  </si>
  <si>
    <t>Molten Salts 100%</t>
  </si>
  <si>
    <t>ton</t>
  </si>
  <si>
    <t>jan</t>
  </si>
  <si>
    <t>Amonia</t>
  </si>
  <si>
    <t>L</t>
  </si>
  <si>
    <t>NºBAT1</t>
  </si>
  <si>
    <t>fev</t>
  </si>
  <si>
    <t>Cenário armazenamento
Repartido em 3</t>
  </si>
  <si>
    <t>MCS</t>
  </si>
  <si>
    <t>NºBAT2</t>
  </si>
  <si>
    <t>mar</t>
  </si>
  <si>
    <t>NºBAT3</t>
  </si>
  <si>
    <t>abr</t>
  </si>
  <si>
    <t>nº bats</t>
  </si>
  <si>
    <t>mai</t>
  </si>
  <si>
    <t>junh</t>
  </si>
  <si>
    <t>Fuel Info</t>
  </si>
  <si>
    <t>julh</t>
  </si>
  <si>
    <t>bat1</t>
  </si>
  <si>
    <t>mcs</t>
  </si>
  <si>
    <t>amonia</t>
  </si>
  <si>
    <t>Fuel em maio poupado (C1)</t>
  </si>
  <si>
    <t>2566465.28L</t>
  </si>
  <si>
    <t>ago</t>
  </si>
  <si>
    <t>Fuel poupado em 100% RES</t>
  </si>
  <si>
    <t>64945189.08L</t>
  </si>
  <si>
    <t>Provided inputs:</t>
  </si>
  <si>
    <t/>
  </si>
  <si>
    <t>set</t>
  </si>
  <si>
    <t>Location [Lat/Lon]:</t>
  </si>
  <si>
    <t>37.809,-25.473</t>
  </si>
  <si>
    <t>out</t>
  </si>
  <si>
    <t>Horizon:</t>
  </si>
  <si>
    <t>Calculated</t>
  </si>
  <si>
    <t>nov</t>
  </si>
  <si>
    <t>Database used:</t>
  </si>
  <si>
    <t>PVGIS-SARAH2</t>
  </si>
  <si>
    <t>dez</t>
  </si>
  <si>
    <t>PV technology:</t>
  </si>
  <si>
    <t>Crystalline silicon</t>
  </si>
  <si>
    <t>PV installed [kWp]:</t>
  </si>
  <si>
    <t>0.34</t>
  </si>
  <si>
    <t>System loss [%]:</t>
  </si>
  <si>
    <t>14</t>
  </si>
  <si>
    <t>Simulation outputs:</t>
  </si>
  <si>
    <t>Slope angle [°]:</t>
  </si>
  <si>
    <t>27 (opt)</t>
  </si>
  <si>
    <t>Azimuth angle [°]:</t>
  </si>
  <si>
    <t>3 (opt)</t>
  </si>
  <si>
    <t>Yearly PV energy production [kWh]:</t>
  </si>
  <si>
    <t>352.76</t>
  </si>
  <si>
    <t>Yearly in-plane irradiation [kWh/m2]:</t>
  </si>
  <si>
    <t>1322.78</t>
  </si>
  <si>
    <t>Year-to-year variability [kWh]:</t>
  </si>
  <si>
    <t>14.31</t>
  </si>
  <si>
    <t>Changes in output due to:</t>
  </si>
  <si>
    <t>minimum distance from houses</t>
  </si>
  <si>
    <t>Rotor diameter: 44 m</t>
  </si>
  <si>
    <t>Angle of incidence [%]:</t>
  </si>
  <si>
    <t>-3.31</t>
  </si>
  <si>
    <t>200m</t>
  </si>
  <si>
    <t>Spectral effects [%]:</t>
  </si>
  <si>
    <t>NaN</t>
  </si>
  <si>
    <t>Temperature and low irradiance [%]:</t>
  </si>
  <si>
    <t>-5.67</t>
  </si>
  <si>
    <t>Total loss [%]:</t>
  </si>
  <si>
    <t>-21.56</t>
  </si>
  <si>
    <t>PV electricity cost [per kWh]:</t>
  </si>
  <si>
    <t>2.160 módulos de painéis solares</t>
  </si>
  <si>
    <t>área de 11.000 m2</t>
  </si>
  <si>
    <t>Total  Area [m2]</t>
  </si>
  <si>
    <t>[km2]</t>
  </si>
  <si>
    <t>Total Area [m2]</t>
  </si>
  <si>
    <t>ENERCON E44/900</t>
  </si>
  <si>
    <t>wind turbines</t>
  </si>
  <si>
    <t>PV panels</t>
  </si>
  <si>
    <t>armazenamento antes</t>
  </si>
  <si>
    <t>delta</t>
  </si>
  <si>
    <t>armazenamento +delta</t>
  </si>
  <si>
    <t>Energia falta</t>
  </si>
  <si>
    <t>delta neg</t>
  </si>
  <si>
    <t>Max Armazenamento =</t>
  </si>
  <si>
    <t>dif final inicio de dia</t>
  </si>
  <si>
    <t>deltaneg</t>
  </si>
  <si>
    <t>ProduçãodeEnergiaEléctrica</t>
  </si>
  <si>
    <t>14 443</t>
  </si>
  <si>
    <t>CentraldasOndas</t>
  </si>
  <si>
    <t>Ind.0Fotovoltaica</t>
  </si>
  <si>
    <t>Fontes renovaveis</t>
  </si>
  <si>
    <t>Fontes nao renovaveis</t>
  </si>
  <si>
    <t>s</t>
  </si>
  <si>
    <t>**DADOS ESTRANHOS PARA A RADIAÇAO**</t>
  </si>
  <si>
    <t>wind</t>
  </si>
  <si>
    <t>rel</t>
  </si>
  <si>
    <t>total</t>
  </si>
  <si>
    <t>850 kW</t>
  </si>
  <si>
    <t>4,25 MW</t>
  </si>
  <si>
    <t>Nº de PV</t>
  </si>
  <si>
    <t>NºTurbina</t>
  </si>
  <si>
    <t>Amonia (l)</t>
  </si>
  <si>
    <t>Total a armazenar</t>
  </si>
  <si>
    <t>.</t>
  </si>
  <si>
    <t>38.580,-28.710</t>
  </si>
  <si>
    <t>1028835.232L</t>
  </si>
  <si>
    <t>29 (opt)</t>
  </si>
  <si>
    <t>-2 (opt)</t>
  </si>
  <si>
    <t>412.4</t>
  </si>
  <si>
    <t>1522.91</t>
  </si>
  <si>
    <t>12.25</t>
  </si>
  <si>
    <t>-2.99</t>
  </si>
  <si>
    <t>-4.54</t>
  </si>
  <si>
    <t>-20.35</t>
  </si>
  <si>
    <t>ENERCON E-30</t>
  </si>
  <si>
    <t>sem armazenamento que corresponde ao pior cenário em termos de produção vs consumo (junho), como é óbvio neste método há um grande excesso de produção de energia uma vez que não estamos a ter em conta o armazenamento.</t>
  </si>
  <si>
    <t>Adicionando armazenamento à estratégia, tentámos atingir um equilíbrio entre a produção e consumo para que a diferença não fosse tão díspar.</t>
  </si>
  <si>
    <t>Basicamente tentámos criar um sistema em que toda energia produzida a mais fosse suficiente para cobrir as diferenças do meses seguintes.</t>
  </si>
  <si>
    <t>Para o caso de Sâo Miguel, chegámos a um valor de turbinas e painéis que no, entanto, não consegue cobrir Junho dado a quantidade absurda de consumo</t>
  </si>
  <si>
    <t>Tentámos garantir na maioria dos meses que, em media, a cada dia produziu se o suficiente, fora de horas de elevado consumo,  para abastecer as horas em que o consumo foi muito maior que a produçao</t>
  </si>
  <si>
    <t>Ind.-Eólica</t>
  </si>
  <si>
    <t>Ind.-Fotovoltaica</t>
  </si>
  <si>
    <t>Ind.-Resíduos</t>
  </si>
  <si>
    <t>Micro-Eólica</t>
  </si>
  <si>
    <t>Micro-Fotovoltaica</t>
  </si>
  <si>
    <t>Mini-Eólica</t>
  </si>
  <si>
    <t>Mini-Fotovoltaica</t>
  </si>
  <si>
    <t>3 627</t>
  </si>
  <si>
    <t>Fontes Renovaveis</t>
  </si>
  <si>
    <t>Fontes nao Renovaveis</t>
  </si>
  <si>
    <t>PhotoVoltaic</t>
  </si>
  <si>
    <t>Assumindo dados do corvo na radiaçao</t>
  </si>
  <si>
    <t>soma</t>
  </si>
  <si>
    <t>max armazenamento</t>
  </si>
  <si>
    <t>bat2</t>
  </si>
  <si>
    <t>bat3</t>
  </si>
  <si>
    <t>Battery 1</t>
  </si>
  <si>
    <t>Battery 2</t>
  </si>
  <si>
    <t>Battery 3</t>
  </si>
  <si>
    <t>300 kW</t>
  </si>
  <si>
    <t>0,6 MW</t>
  </si>
  <si>
    <t>39.438,-31.196</t>
  </si>
  <si>
    <t>Nao ha info</t>
  </si>
  <si>
    <t>31 (opt)</t>
  </si>
  <si>
    <t>5 (opt)</t>
  </si>
  <si>
    <t>425.46</t>
  </si>
  <si>
    <t>1562.9</t>
  </si>
  <si>
    <t>12.65</t>
  </si>
  <si>
    <t>-2.86</t>
  </si>
  <si>
    <t>-4.16</t>
  </si>
  <si>
    <t>-19.93</t>
  </si>
  <si>
    <t xml:space="preserve">BYD Battery-Box Premium HVM 13.8 is high-voltage storage battery - Lithium ion </t>
  </si>
  <si>
    <t>Total battery capacity</t>
  </si>
  <si>
    <t>KWh</t>
  </si>
  <si>
    <t>Molten salt energy storage</t>
  </si>
  <si>
    <t>N° of modules</t>
  </si>
  <si>
    <t> </t>
  </si>
  <si>
    <t>Operating Temperatures</t>
  </si>
  <si>
    <t>150 to 560</t>
  </si>
  <si>
    <t>°C</t>
  </si>
  <si>
    <t>Nominal voltage</t>
  </si>
  <si>
    <t>V</t>
  </si>
  <si>
    <t>Storage Capacity</t>
  </si>
  <si>
    <t>KWh/ton</t>
  </si>
  <si>
    <t>Max output current</t>
  </si>
  <si>
    <t>A</t>
  </si>
  <si>
    <t>Storage Efficiency</t>
  </si>
  <si>
    <t>90 to 99</t>
  </si>
  <si>
    <t>peak output current</t>
  </si>
  <si>
    <t>75 for 5 seconds</t>
  </si>
  <si>
    <t>Lifetime</t>
  </si>
  <si>
    <t>years</t>
  </si>
  <si>
    <t>Operating Voltage</t>
  </si>
  <si>
    <t>200 - 300</t>
  </si>
  <si>
    <t>N° of cycles</t>
  </si>
  <si>
    <t>Weight</t>
  </si>
  <si>
    <t>Kg</t>
  </si>
  <si>
    <t>Dimensions</t>
  </si>
  <si>
    <t>1411 x 585 x 298</t>
  </si>
  <si>
    <t>mm</t>
  </si>
  <si>
    <t>Salt hydrates - lithium chlorate trihydrate</t>
  </si>
  <si>
    <t>PCM 2</t>
  </si>
  <si>
    <t>Operating temperature</t>
  </si>
  <si>
    <t>Solid density</t>
  </si>
  <si>
    <t>1.72</t>
  </si>
  <si>
    <t>g/cm^3</t>
  </si>
  <si>
    <t>Price</t>
  </si>
  <si>
    <t>8,425.00</t>
  </si>
  <si>
    <t>euros</t>
  </si>
  <si>
    <t>Energy storage density</t>
  </si>
  <si>
    <t>KWh/m^3</t>
  </si>
  <si>
    <t>Mean temperature (T_m)</t>
  </si>
  <si>
    <t>8.1</t>
  </si>
  <si>
    <t>12,8V Lithium Superpack</t>
  </si>
  <si>
    <t>delta H</t>
  </si>
  <si>
    <t>253.0</t>
  </si>
  <si>
    <t>KJ/Kg</t>
  </si>
  <si>
    <t>Material cost</t>
  </si>
  <si>
    <t>5.21</t>
  </si>
  <si>
    <t>$/Kg</t>
  </si>
  <si>
    <t>Material energy cost</t>
  </si>
  <si>
    <t>74.10</t>
  </si>
  <si>
    <t>$/KWh</t>
  </si>
  <si>
    <t>12.8</t>
  </si>
  <si>
    <t xml:space="preserve">link </t>
  </si>
  <si>
    <t>https://www.osti.gov/servlets/purl/1468092#:~:text=The%20results%20showed%20that%20PCMs,30%20%24%2FkWh%20for%20comparable</t>
  </si>
  <si>
    <t>100 for 10 seconds</t>
  </si>
  <si>
    <t>14.2 - 14.4</t>
  </si>
  <si>
    <t>Ammonia - Ammonia system</t>
  </si>
  <si>
    <t>520 x 269 x 208</t>
  </si>
  <si>
    <t>Storage pressure (bar)</t>
  </si>
  <si>
    <t>-10 to 50 (Discharge) and 5 to 45 (Charge)</t>
  </si>
  <si>
    <t>Storage temperature (°C)</t>
  </si>
  <si>
    <t>price</t>
  </si>
  <si>
    <t>1,985.00</t>
  </si>
  <si>
    <t>Energy density (KWh/L)</t>
  </si>
  <si>
    <t>Storage Time (hrs)</t>
  </si>
  <si>
    <t>10 - 10000</t>
  </si>
  <si>
    <t>25,6V Lithium Superpack</t>
  </si>
  <si>
    <t xml:space="preserve">https://pdf.sciencedirectassets.com/277910/1-s2.0-S1876610218X00083/1-s2.0-S1876610218305411/main.pdf?X-Amz-Security-Token=IQoJb3JpZ2luX2VjEHMaCXVzLWVhc3QtMSJGMEQCIASTnDhBl2MEtoZIi%2Fh8ZFWUYOgW4BYTFSTaJV1AmkuKAiBhV5LFhX7uxwQnwl84p1QSK4sYco1kU0LVvKq5Cntb8Sq8BQiM%2F%2F%2F%2F%2F%2F%2F%2F%2F%2F8BEAUaDDA1OTAwMzU0Njg2NSIMgFCoYcCBPlgse%2FyCKpAF0job%2FvS8Yumg0mh3YJ6tOacJMN1YJu1gISoZGI5NBQQJk%2B%2BfhWnQ8CUJkfYLib%2BitGo2ykpC%2BX0qGECR7HsWPSvJxC1chHuidkKuA%2BCf83M5wZ4pcrSApbgby5EQ47edHyccRArcfCWew7%2BWRQz4%2BrP4yRDCOj35d2V5zmrk%2FZKroCub5tVXe9CY67jrCMUPhAoUFk4hpGBNLWG%2FbHbhDAqesBur54zHTCBS6V9mIdyzspDvdTWqM2HBk%2F6TSvIslp53un8XQMSuqoRqwEhrim44U9xliEn6PvNGkHhcSWq9ba5JnyfFuy%2BLGuzShwEqyr7rJnF0yrAhvvpZvfyG0h4tXIwGMVJAGRdaGoQypnijSmQtaFpRy4RCDwPuGwnDPZ1TXGEmCtv4kr1P4iaGbuHyBpq1ZUsXvGVjvGugpe7Uvrd1LVwwl%2FHqbEYFcqTJGr%2FdY09PhmLECBYUPMo9WBj27fTMq6kMToYj3XCQPyA4kERRV7LjBHmIQaRk1hTMN6VSY82nRdxS28UOU05e8I7fx3WpSpaJj9AT6X6BXeLRq4MEIbpZJrmfeR9EVLfCYjrooAQtSRnYcIDaCGEIbthdSaln1hfe3yLk7n%2FM1weyPhDvwg5mn3en8JScntHdiaKPMFmfsCUMGh9ewMibqASOtUKhqfpHKnYjjEAXIfbzkTBgSQEab4WAKBtWRdTlZdKC6bUTwElO7bvRCIo99qckFTo5NkMD9o3eJPySF%2BlEFSTJNugw2%2B%2FrLMmGB2fKPM7zyCAmvrRWlvMjUXQ5CfxlXHI6iSvSryqeyEvbWptYSeSP8sIL14HbeWbIREryUz1uvKzGeUirxhIlp0bbTIdm2HWafv4weris6dqx%2B3gwrNC5qQY6sgEXAdgS%2BPDXz%2Fk3%2FIHnhLjQeLet9I7Ftce8nJk%2FxHKiAUcCRnbfyYCja%2BkqFp9rRS09Yyw5a0duHqkWoHJqzG9OpEYeZ3Dk%2Fd0QmCZufGGByRF21b%2FtGPgsl%2BmqsVzx%2BQstEhNgim%2Blw5%2BAfm6Y6OzhBD6EnaVWAy19ivFKvALosqXPmx7%2FU6ducyt3Yc9DY2dTQibFQIi2UbgmIUk%2Bjyl9Nj3FFVjPMCtEb4pRXLu8Ssbj&amp;X-Amz-Algorithm=AWS4-HMAC-SHA256&amp;X-Amz-Date=20231017T114021Z&amp;X-Amz-SignedHeaders=host&amp;X-Amz-Expires=300&amp;X-Amz-Credential=ASIAQ3PHCVTY2GFENNTY%2F20231017%2Fus-east-1%2Fs3%2Faws4_request&amp;X-Amz-Signature=c9fb214f93d153a9f658eaa780042f0377f3014eeaf79d44f223b38e891e721d&amp;hash=7a839ecd6317209bd7e142f435765d15f2d725dbb71a0773771cb5377adfe844&amp;host=68042c943591013ac2b2430a89b270f6af2c76d8dfd086a07176afe7c76c2c61&amp;pii=S1876610218305411&amp;tid=spdf-39e57863-3270-4930-9e47-7be4ba99671e&amp;sid=a2b42c9c9d257648e40a1c6730e99bf39eb1gxrqb&amp;type=client&amp;tsoh=d3d3LnNjaWVuY2VkaXJlY3QuY29t&amp;ua=0a125c54515d535456575d&amp;rr=817844273f8169fd&amp;cc=pt </t>
  </si>
  <si>
    <t>25.6</t>
  </si>
  <si>
    <t>Carbonate systems - CaCO3/CaCO, SrCO3/SrO and MgCO3/MgO</t>
  </si>
  <si>
    <t>Energy density (GJ/m^3)</t>
  </si>
  <si>
    <t>3 to 4</t>
  </si>
  <si>
    <t>28.4 - 28.8</t>
  </si>
  <si>
    <t>https://www.mdpi.com/1996-1073/14/14/4336</t>
  </si>
  <si>
    <t>330 x 171 x 220</t>
  </si>
  <si>
    <t>Link</t>
  </si>
  <si>
    <t>https://www.europe-solarstore.com/batteries/battery-type/lithium-ion.html</t>
  </si>
  <si>
    <t>Dados clima</t>
  </si>
  <si>
    <t>https://en.wind-turbine-models.com/turbines/531-enercon-e-44</t>
  </si>
  <si>
    <t>Turbina E-44</t>
  </si>
  <si>
    <t>http://siaram.azores.gov.pt/energia/energia-eolica/_texto.html</t>
  </si>
  <si>
    <t>nº Turbinas</t>
  </si>
  <si>
    <t xml:space="preserve"> </t>
  </si>
  <si>
    <t>1800 KW</t>
  </si>
  <si>
    <t>Rotor diameter: 29,6 m</t>
  </si>
  <si>
    <t xml:space="preserve">São Miguel </t>
  </si>
  <si>
    <t>Faial</t>
  </si>
  <si>
    <t>Flores</t>
  </si>
  <si>
    <t>Population</t>
  </si>
  <si>
    <t>Island</t>
  </si>
  <si>
    <t>Land Area[km²]</t>
  </si>
  <si>
    <t>Generation [GWh]</t>
  </si>
  <si>
    <t>Peak load [kW]</t>
  </si>
  <si>
    <t>São Miguel</t>
  </si>
  <si>
    <t>Nº PV panels</t>
  </si>
  <si>
    <t>Nº Wind turbines</t>
  </si>
  <si>
    <t>Area for PVs [m²]</t>
  </si>
  <si>
    <t>Area for Turbines [m²]</t>
  </si>
  <si>
    <t>Total Area [km²]</t>
  </si>
  <si>
    <t>Month</t>
  </si>
  <si>
    <t>Year</t>
  </si>
  <si>
    <t>Fuel Oil</t>
  </si>
  <si>
    <t>Fuel Oil [Kg]</t>
  </si>
  <si>
    <t>Diesel [L]</t>
  </si>
  <si>
    <t>Total Imports</t>
  </si>
  <si>
    <t>Total Production [kWh]</t>
  </si>
  <si>
    <t>Number of PVs</t>
  </si>
  <si>
    <t xml:space="preserve">Number of turbines </t>
  </si>
  <si>
    <t>Month for PVs</t>
  </si>
  <si>
    <t>Month for Turbines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</si>
</sst>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"/>
    <numFmt numFmtId="165" formatCode="#,##0.00000"/>
    <numFmt numFmtId="166" formatCode="0.0%"/>
  </numFmts>
  <fonts count="25" x14ac:knownFonts="1">
    <font>
      <sz val="11"/>
      <color theme="1"/>
      <name val="Calibri"/>
      <family val="2"/>
      <scheme val="minor"/>
    </font>
    <font>
      <sz val="9"/>
      <color rgb="FF000000"/>
      <name val="Verdana"/>
      <family val="2"/>
    </font>
    <font>
      <sz val="8"/>
      <color theme="1"/>
      <name val="Times New Roman"/>
      <family val="1"/>
    </font>
    <font>
      <b/>
      <sz val="9"/>
      <color rgb="FF000000"/>
      <name val="Verdana"/>
      <family val="2"/>
    </font>
    <font>
      <b/>
      <sz val="9"/>
      <color rgb="FF000000"/>
      <name val="Arial"/>
      <family val="2"/>
    </font>
    <font>
      <b/>
      <sz val="10"/>
      <color rgb="FF000000"/>
      <name val="Arial"/>
      <family val="2"/>
    </font>
    <font>
      <b/>
      <sz val="9"/>
      <color rgb="FF595959"/>
      <name val="Segoe UI"/>
      <family val="2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 val="double"/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9"/>
      <color theme="1"/>
      <name val="Calibri"/>
      <family val="2"/>
      <scheme val="minor"/>
    </font>
    <font>
      <sz val="9"/>
      <color rgb="FF000000"/>
      <name val="Calibri"/>
      <family val="2"/>
      <scheme val="minor"/>
    </font>
    <font>
      <sz val="11"/>
      <color rgb="FF000000"/>
      <name val="Calibri"/>
      <family val="2"/>
    </font>
    <font>
      <sz val="11"/>
      <color rgb="FF242424"/>
      <name val="Calibri"/>
      <family val="2"/>
    </font>
    <font>
      <sz val="11"/>
      <color rgb="FF808080"/>
      <name val="Calibri"/>
      <family val="2"/>
      <scheme val="minor"/>
    </font>
    <font>
      <sz val="8"/>
      <color theme="1"/>
      <name val="Arial"/>
      <family val="2"/>
    </font>
    <font>
      <sz val="11"/>
      <color rgb="FF0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rgb="FF202124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rgb="FFF0F8FF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theme="9" tint="0.79998168889431442"/>
      </patternFill>
    </fill>
    <fill>
      <patternFill patternType="solid">
        <fgColor rgb="FFFFFF00"/>
        <bgColor rgb="FF000000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/>
        <bgColor indexed="64"/>
      </patternFill>
    </fill>
  </fills>
  <borders count="46"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medium">
        <color rgb="FF000000"/>
      </left>
      <right style="thin">
        <color indexed="64"/>
      </right>
      <top style="medium">
        <color rgb="FF000000"/>
      </top>
      <bottom style="thin">
        <color indexed="64"/>
      </bottom>
      <diagonal/>
    </border>
    <border>
      <left/>
      <right style="thin">
        <color indexed="64"/>
      </right>
      <top style="medium">
        <color rgb="FF000000"/>
      </top>
      <bottom style="thin">
        <color indexed="64"/>
      </bottom>
      <diagonal/>
    </border>
    <border>
      <left/>
      <right style="medium">
        <color rgb="FF000000"/>
      </right>
      <top style="medium">
        <color rgb="FF00000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  <border>
      <left/>
      <right style="thin">
        <color theme="9" tint="0.39997558519241921"/>
      </right>
      <top style="thin">
        <color theme="9" tint="0.39997558519241921"/>
      </top>
      <bottom style="thin">
        <color theme="9" tint="0.3999755851924192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/>
      <diagonal/>
    </border>
    <border>
      <left/>
      <right style="medium">
        <color rgb="FF000000"/>
      </right>
      <top style="thin">
        <color rgb="FF000000"/>
      </top>
      <bottom/>
      <diagonal/>
    </border>
    <border>
      <left/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9" fillId="0" borderId="0" applyNumberFormat="0" applyFill="0" applyBorder="0" applyAlignment="0" applyProtection="0"/>
    <xf numFmtId="9" fontId="22" fillId="0" borderId="0" applyFont="0" applyFill="0" applyBorder="0" applyAlignment="0" applyProtection="0"/>
  </cellStyleXfs>
  <cellXfs count="192">
    <xf numFmtId="0" fontId="0" fillId="0" borderId="0" xfId="0"/>
    <xf numFmtId="0" fontId="1" fillId="0" borderId="1" xfId="0" applyFont="1" applyBorder="1" applyAlignment="1">
      <alignment readingOrder="1"/>
    </xf>
    <xf numFmtId="0" fontId="1" fillId="0" borderId="1" xfId="0" quotePrefix="1" applyFont="1" applyBorder="1" applyAlignment="1">
      <alignment readingOrder="1"/>
    </xf>
    <xf numFmtId="0" fontId="0" fillId="0" borderId="4" xfId="0" applyBorder="1"/>
    <xf numFmtId="0" fontId="2" fillId="0" borderId="5" xfId="0" applyFont="1" applyBorder="1"/>
    <xf numFmtId="0" fontId="1" fillId="2" borderId="1" xfId="0" applyFont="1" applyFill="1" applyBorder="1" applyAlignment="1">
      <alignment readingOrder="1"/>
    </xf>
    <xf numFmtId="0" fontId="2" fillId="0" borderId="7" xfId="0" applyFont="1" applyBorder="1"/>
    <xf numFmtId="0" fontId="3" fillId="0" borderId="1" xfId="0" applyFont="1" applyBorder="1" applyAlignment="1">
      <alignment readingOrder="1"/>
    </xf>
    <xf numFmtId="0" fontId="2" fillId="0" borderId="0" xfId="0" applyFont="1"/>
    <xf numFmtId="0" fontId="2" fillId="0" borderId="3" xfId="0" applyFont="1" applyBorder="1"/>
    <xf numFmtId="2" fontId="0" fillId="0" borderId="0" xfId="0" applyNumberFormat="1"/>
    <xf numFmtId="0" fontId="6" fillId="0" borderId="15" xfId="0" applyFont="1" applyBorder="1" applyAlignment="1">
      <alignment wrapText="1"/>
    </xf>
    <xf numFmtId="0" fontId="6" fillId="0" borderId="16" xfId="0" applyFont="1" applyBorder="1" applyAlignment="1">
      <alignment wrapText="1"/>
    </xf>
    <xf numFmtId="0" fontId="6" fillId="0" borderId="17" xfId="0" applyFont="1" applyBorder="1" applyAlignment="1">
      <alignment wrapText="1"/>
    </xf>
    <xf numFmtId="0" fontId="0" fillId="0" borderId="6" xfId="0" applyBorder="1"/>
    <xf numFmtId="0" fontId="0" fillId="0" borderId="14" xfId="0" applyBorder="1"/>
    <xf numFmtId="0" fontId="0" fillId="0" borderId="11" xfId="0" applyBorder="1"/>
    <xf numFmtId="0" fontId="1" fillId="0" borderId="0" xfId="0" applyFont="1" applyAlignment="1">
      <alignment readingOrder="1"/>
    </xf>
    <xf numFmtId="0" fontId="1" fillId="2" borderId="18" xfId="0" applyFont="1" applyFill="1" applyBorder="1" applyAlignment="1">
      <alignment readingOrder="1"/>
    </xf>
    <xf numFmtId="2" fontId="1" fillId="0" borderId="18" xfId="0" applyNumberFormat="1" applyFont="1" applyBorder="1" applyAlignment="1">
      <alignment readingOrder="1"/>
    </xf>
    <xf numFmtId="2" fontId="0" fillId="0" borderId="18" xfId="0" applyNumberFormat="1" applyBorder="1"/>
    <xf numFmtId="164" fontId="0" fillId="0" borderId="0" xfId="0" applyNumberFormat="1"/>
    <xf numFmtId="0" fontId="0" fillId="4" borderId="0" xfId="0" applyFill="1"/>
    <xf numFmtId="0" fontId="8" fillId="4" borderId="0" xfId="0" applyFont="1" applyFill="1"/>
    <xf numFmtId="16" fontId="0" fillId="0" borderId="0" xfId="0" applyNumberFormat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9" fillId="0" borderId="0" xfId="1"/>
    <xf numFmtId="0" fontId="7" fillId="0" borderId="0" xfId="0" applyFont="1"/>
    <xf numFmtId="0" fontId="0" fillId="0" borderId="0" xfId="0" applyAlignment="1">
      <alignment horizontal="center"/>
    </xf>
    <xf numFmtId="0" fontId="0" fillId="0" borderId="10" xfId="0" applyBorder="1"/>
    <xf numFmtId="0" fontId="0" fillId="0" borderId="3" xfId="0" applyBorder="1"/>
    <xf numFmtId="0" fontId="0" fillId="0" borderId="5" xfId="0" applyBorder="1"/>
    <xf numFmtId="0" fontId="10" fillId="0" borderId="5" xfId="0" applyFont="1" applyBorder="1"/>
    <xf numFmtId="0" fontId="0" fillId="0" borderId="7" xfId="0" applyBorder="1"/>
    <xf numFmtId="165" fontId="0" fillId="0" borderId="3" xfId="0" applyNumberFormat="1" applyBorder="1"/>
    <xf numFmtId="0" fontId="0" fillId="0" borderId="6" xfId="0" applyBorder="1" applyAlignment="1">
      <alignment horizontal="center"/>
    </xf>
    <xf numFmtId="0" fontId="7" fillId="0" borderId="10" xfId="0" applyFont="1" applyBorder="1"/>
    <xf numFmtId="20" fontId="0" fillId="0" borderId="0" xfId="0" applyNumberFormat="1"/>
    <xf numFmtId="20" fontId="11" fillId="0" borderId="0" xfId="0" applyNumberFormat="1" applyFont="1"/>
    <xf numFmtId="20" fontId="0" fillId="0" borderId="5" xfId="0" applyNumberFormat="1" applyBorder="1"/>
    <xf numFmtId="20" fontId="0" fillId="0" borderId="7" xfId="0" applyNumberFormat="1" applyBorder="1"/>
    <xf numFmtId="0" fontId="1" fillId="2" borderId="4" xfId="0" applyFont="1" applyFill="1" applyBorder="1" applyAlignment="1">
      <alignment readingOrder="1"/>
    </xf>
    <xf numFmtId="0" fontId="1" fillId="2" borderId="6" xfId="0" applyFont="1" applyFill="1" applyBorder="1" applyAlignment="1">
      <alignment readingOrder="1"/>
    </xf>
    <xf numFmtId="0" fontId="1" fillId="2" borderId="11" xfId="0" applyFont="1" applyFill="1" applyBorder="1" applyAlignment="1">
      <alignment readingOrder="1"/>
    </xf>
    <xf numFmtId="0" fontId="4" fillId="0" borderId="10" xfId="0" applyFont="1" applyBorder="1" applyAlignment="1">
      <alignment readingOrder="1"/>
    </xf>
    <xf numFmtId="0" fontId="4" fillId="0" borderId="3" xfId="0" applyFont="1" applyBorder="1" applyAlignment="1">
      <alignment readingOrder="1"/>
    </xf>
    <xf numFmtId="0" fontId="4" fillId="0" borderId="5" xfId="0" applyFont="1" applyBorder="1" applyAlignment="1">
      <alignment readingOrder="1"/>
    </xf>
    <xf numFmtId="0" fontId="3" fillId="2" borderId="2" xfId="0" applyFont="1" applyFill="1" applyBorder="1" applyAlignment="1">
      <alignment readingOrder="1"/>
    </xf>
    <xf numFmtId="0" fontId="3" fillId="2" borderId="9" xfId="0" applyFont="1" applyFill="1" applyBorder="1" applyAlignment="1">
      <alignment readingOrder="1"/>
    </xf>
    <xf numFmtId="0" fontId="3" fillId="2" borderId="8" xfId="0" applyFont="1" applyFill="1" applyBorder="1" applyAlignment="1">
      <alignment readingOrder="1"/>
    </xf>
    <xf numFmtId="0" fontId="1" fillId="2" borderId="2" xfId="0" applyFont="1" applyFill="1" applyBorder="1" applyAlignment="1">
      <alignment readingOrder="1"/>
    </xf>
    <xf numFmtId="0" fontId="1" fillId="2" borderId="9" xfId="0" applyFont="1" applyFill="1" applyBorder="1" applyAlignment="1">
      <alignment readingOrder="1"/>
    </xf>
    <xf numFmtId="0" fontId="1" fillId="2" borderId="8" xfId="0" applyFont="1" applyFill="1" applyBorder="1" applyAlignment="1">
      <alignment readingOrder="1"/>
    </xf>
    <xf numFmtId="0" fontId="4" fillId="0" borderId="0" xfId="0" applyFont="1" applyAlignment="1">
      <alignment readingOrder="1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 readingOrder="1"/>
    </xf>
    <xf numFmtId="0" fontId="12" fillId="0" borderId="0" xfId="0" applyFont="1"/>
    <xf numFmtId="0" fontId="0" fillId="0" borderId="22" xfId="0" applyBorder="1"/>
    <xf numFmtId="0" fontId="0" fillId="0" borderId="23" xfId="0" applyBorder="1"/>
    <xf numFmtId="0" fontId="0" fillId="6" borderId="22" xfId="0" applyFill="1" applyBorder="1"/>
    <xf numFmtId="0" fontId="0" fillId="6" borderId="23" xfId="0" applyFill="1" applyBorder="1"/>
    <xf numFmtId="11" fontId="0" fillId="0" borderId="0" xfId="0" applyNumberFormat="1"/>
    <xf numFmtId="0" fontId="13" fillId="0" borderId="0" xfId="0" applyFont="1" applyAlignment="1">
      <alignment horizontal="left" vertical="center" wrapText="1" indent="1"/>
    </xf>
    <xf numFmtId="0" fontId="14" fillId="0" borderId="0" xfId="0" applyFont="1"/>
    <xf numFmtId="0" fontId="14" fillId="0" borderId="26" xfId="0" applyFont="1" applyBorder="1"/>
    <xf numFmtId="0" fontId="14" fillId="0" borderId="27" xfId="0" applyFont="1" applyBorder="1"/>
    <xf numFmtId="0" fontId="14" fillId="0" borderId="28" xfId="0" applyFont="1" applyBorder="1"/>
    <xf numFmtId="0" fontId="14" fillId="0" borderId="29" xfId="0" applyFont="1" applyBorder="1"/>
    <xf numFmtId="0" fontId="14" fillId="0" borderId="30" xfId="0" applyFont="1" applyBorder="1"/>
    <xf numFmtId="0" fontId="14" fillId="0" borderId="31" xfId="0" applyFont="1" applyBorder="1"/>
    <xf numFmtId="0" fontId="14" fillId="0" borderId="32" xfId="0" applyFont="1" applyBorder="1"/>
    <xf numFmtId="0" fontId="14" fillId="0" borderId="26" xfId="0" quotePrefix="1" applyFont="1" applyBorder="1"/>
    <xf numFmtId="0" fontId="15" fillId="0" borderId="0" xfId="0" applyFont="1"/>
    <xf numFmtId="0" fontId="0" fillId="0" borderId="4" xfId="0" applyBorder="1" applyAlignment="1">
      <alignment horizontal="center"/>
    </xf>
    <xf numFmtId="0" fontId="0" fillId="0" borderId="12" xfId="0" applyBorder="1"/>
    <xf numFmtId="0" fontId="0" fillId="0" borderId="33" xfId="0" applyBorder="1"/>
    <xf numFmtId="0" fontId="0" fillId="0" borderId="13" xfId="0" applyBorder="1"/>
    <xf numFmtId="0" fontId="0" fillId="0" borderId="33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16" fillId="0" borderId="0" xfId="0" applyFont="1"/>
    <xf numFmtId="0" fontId="0" fillId="0" borderId="11" xfId="0" applyBorder="1" applyAlignment="1">
      <alignment horizontal="center"/>
    </xf>
    <xf numFmtId="16" fontId="0" fillId="0" borderId="0" xfId="0" applyNumberFormat="1" applyAlignment="1">
      <alignment horizontal="center"/>
    </xf>
    <xf numFmtId="0" fontId="0" fillId="0" borderId="0" xfId="0" applyAlignment="1">
      <alignment horizontal="right"/>
    </xf>
    <xf numFmtId="0" fontId="9" fillId="0" borderId="0" xfId="1" applyAlignment="1">
      <alignment horizontal="center"/>
    </xf>
    <xf numFmtId="0" fontId="17" fillId="0" borderId="0" xfId="0" applyFont="1"/>
    <xf numFmtId="0" fontId="18" fillId="8" borderId="5" xfId="0" applyFont="1" applyFill="1" applyBorder="1"/>
    <xf numFmtId="0" fontId="18" fillId="8" borderId="0" xfId="0" applyFont="1" applyFill="1"/>
    <xf numFmtId="0" fontId="18" fillId="8" borderId="6" xfId="0" applyFont="1" applyFill="1" applyBorder="1"/>
    <xf numFmtId="0" fontId="0" fillId="5" borderId="0" xfId="0" applyFill="1"/>
    <xf numFmtId="0" fontId="0" fillId="9" borderId="5" xfId="0" applyFill="1" applyBorder="1"/>
    <xf numFmtId="0" fontId="0" fillId="9" borderId="0" xfId="0" applyFill="1"/>
    <xf numFmtId="0" fontId="0" fillId="5" borderId="5" xfId="0" applyFill="1" applyBorder="1"/>
    <xf numFmtId="0" fontId="0" fillId="0" borderId="35" xfId="0" applyBorder="1"/>
    <xf numFmtId="0" fontId="0" fillId="0" borderId="37" xfId="0" applyBorder="1"/>
    <xf numFmtId="0" fontId="1" fillId="2" borderId="0" xfId="0" applyFont="1" applyFill="1" applyAlignment="1">
      <alignment readingOrder="1"/>
    </xf>
    <xf numFmtId="0" fontId="19" fillId="0" borderId="0" xfId="0" applyFont="1"/>
    <xf numFmtId="0" fontId="0" fillId="0" borderId="19" xfId="0" applyBorder="1" applyAlignment="1">
      <alignment horizontal="center" vertical="center"/>
    </xf>
    <xf numFmtId="2" fontId="0" fillId="0" borderId="19" xfId="0" applyNumberFormat="1" applyBorder="1"/>
    <xf numFmtId="0" fontId="0" fillId="0" borderId="36" xfId="0" applyBorder="1" applyAlignment="1">
      <alignment horizontal="center"/>
    </xf>
    <xf numFmtId="0" fontId="0" fillId="0" borderId="0" xfId="0" applyAlignment="1">
      <alignment horizontal="center" vertical="center"/>
    </xf>
    <xf numFmtId="0" fontId="0" fillId="5" borderId="38" xfId="0" applyFill="1" applyBorder="1"/>
    <xf numFmtId="0" fontId="0" fillId="5" borderId="6" xfId="0" applyFill="1" applyBorder="1"/>
    <xf numFmtId="0" fontId="0" fillId="0" borderId="34" xfId="0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35" xfId="0" applyBorder="1" applyAlignment="1">
      <alignment horizontal="left" vertical="top"/>
    </xf>
    <xf numFmtId="0" fontId="0" fillId="0" borderId="21" xfId="0" applyBorder="1" applyAlignment="1">
      <alignment horizontal="left" vertical="top"/>
    </xf>
    <xf numFmtId="0" fontId="0" fillId="0" borderId="18" xfId="0" applyBorder="1"/>
    <xf numFmtId="11" fontId="0" fillId="0" borderId="18" xfId="0" applyNumberFormat="1" applyBorder="1"/>
    <xf numFmtId="0" fontId="1" fillId="0" borderId="18" xfId="0" applyFont="1" applyBorder="1" applyAlignment="1">
      <alignment readingOrder="1"/>
    </xf>
    <xf numFmtId="0" fontId="20" fillId="0" borderId="18" xfId="0" applyFont="1" applyBorder="1" applyAlignment="1">
      <alignment horizontal="center" vertical="center"/>
    </xf>
    <xf numFmtId="0" fontId="21" fillId="0" borderId="18" xfId="0" applyFont="1" applyBorder="1" applyAlignment="1">
      <alignment horizontal="center" vertical="center"/>
    </xf>
    <xf numFmtId="3" fontId="20" fillId="0" borderId="18" xfId="0" applyNumberFormat="1" applyFont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164" fontId="0" fillId="0" borderId="18" xfId="0" applyNumberFormat="1" applyBorder="1" applyAlignment="1">
      <alignment horizontal="center" vertical="center"/>
    </xf>
    <xf numFmtId="0" fontId="7" fillId="0" borderId="18" xfId="0" applyFont="1" applyBorder="1" applyAlignment="1">
      <alignment horizontal="center" vertical="center"/>
    </xf>
    <xf numFmtId="9" fontId="0" fillId="0" borderId="0" xfId="2" applyFont="1"/>
    <xf numFmtId="0" fontId="23" fillId="0" borderId="0" xfId="0" applyFont="1" applyAlignment="1">
      <alignment horizontal="center" vertical="center"/>
    </xf>
    <xf numFmtId="166" fontId="0" fillId="0" borderId="0" xfId="2" applyNumberFormat="1" applyFont="1"/>
    <xf numFmtId="0" fontId="12" fillId="0" borderId="18" xfId="0" applyFont="1" applyBorder="1" applyAlignment="1">
      <alignment horizontal="center" vertical="center"/>
    </xf>
    <xf numFmtId="0" fontId="12" fillId="11" borderId="18" xfId="0" applyFont="1" applyFill="1" applyBorder="1" applyAlignment="1">
      <alignment horizontal="center" vertical="center"/>
    </xf>
    <xf numFmtId="1" fontId="12" fillId="11" borderId="18" xfId="0" applyNumberFormat="1" applyFont="1" applyFill="1" applyBorder="1" applyAlignment="1">
      <alignment horizontal="center" vertical="center"/>
    </xf>
    <xf numFmtId="0" fontId="24" fillId="11" borderId="18" xfId="0" applyFont="1" applyFill="1" applyBorder="1" applyAlignment="1">
      <alignment horizontal="center" vertical="center"/>
    </xf>
    <xf numFmtId="3" fontId="12" fillId="11" borderId="18" xfId="0" applyNumberFormat="1" applyFont="1" applyFill="1" applyBorder="1" applyAlignment="1">
      <alignment horizontal="center" vertical="center"/>
    </xf>
    <xf numFmtId="0" fontId="12" fillId="12" borderId="18" xfId="0" applyFont="1" applyFill="1" applyBorder="1" applyAlignment="1">
      <alignment horizontal="center" vertical="center"/>
    </xf>
    <xf numFmtId="0" fontId="24" fillId="12" borderId="18" xfId="0" applyFont="1" applyFill="1" applyBorder="1" applyAlignment="1">
      <alignment horizontal="center" vertical="center"/>
    </xf>
    <xf numFmtId="3" fontId="12" fillId="12" borderId="18" xfId="0" applyNumberFormat="1" applyFont="1" applyFill="1" applyBorder="1" applyAlignment="1">
      <alignment horizontal="center" vertical="center"/>
    </xf>
    <xf numFmtId="3" fontId="12" fillId="12" borderId="42" xfId="0" applyNumberFormat="1" applyFont="1" applyFill="1" applyBorder="1" applyAlignment="1">
      <alignment horizontal="center" vertical="center"/>
    </xf>
    <xf numFmtId="3" fontId="12" fillId="12" borderId="43" xfId="0" applyNumberFormat="1" applyFont="1" applyFill="1" applyBorder="1" applyAlignment="1">
      <alignment horizontal="center" vertical="center"/>
    </xf>
    <xf numFmtId="0" fontId="12" fillId="12" borderId="44" xfId="0" applyFont="1" applyFill="1" applyBorder="1" applyAlignment="1">
      <alignment horizontal="center" vertical="center"/>
    </xf>
    <xf numFmtId="3" fontId="12" fillId="12" borderId="45" xfId="0" applyNumberFormat="1" applyFont="1" applyFill="1" applyBorder="1" applyAlignment="1">
      <alignment horizontal="center" vertical="center"/>
    </xf>
    <xf numFmtId="0" fontId="13" fillId="12" borderId="18" xfId="0" applyFont="1" applyFill="1" applyBorder="1" applyAlignment="1">
      <alignment horizontal="center" vertical="center" readingOrder="1"/>
    </xf>
    <xf numFmtId="3" fontId="12" fillId="11" borderId="42" xfId="0" applyNumberFormat="1" applyFont="1" applyFill="1" applyBorder="1" applyAlignment="1">
      <alignment horizontal="center" vertical="center"/>
    </xf>
    <xf numFmtId="0" fontId="13" fillId="12" borderId="43" xfId="0" applyFont="1" applyFill="1" applyBorder="1" applyAlignment="1">
      <alignment horizontal="center" vertical="center" readingOrder="1"/>
    </xf>
    <xf numFmtId="0" fontId="13" fillId="12" borderId="45" xfId="0" applyFont="1" applyFill="1" applyBorder="1" applyAlignment="1">
      <alignment horizontal="center" vertical="center" readingOrder="1"/>
    </xf>
    <xf numFmtId="0" fontId="12" fillId="0" borderId="0" xfId="0" applyFont="1" applyAlignment="1">
      <alignment horizontal="center"/>
    </xf>
    <xf numFmtId="0" fontId="23" fillId="0" borderId="18" xfId="0" applyFont="1" applyBorder="1" applyAlignment="1">
      <alignment horizontal="center" vertical="center"/>
    </xf>
    <xf numFmtId="0" fontId="13" fillId="0" borderId="18" xfId="0" applyFont="1" applyBorder="1" applyAlignment="1">
      <alignment horizontal="center" vertical="center" readingOrder="1"/>
    </xf>
    <xf numFmtId="0" fontId="7" fillId="0" borderId="0" xfId="0" applyFont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0" fillId="13" borderId="0" xfId="0" applyFill="1" applyAlignment="1">
      <alignment horizontal="center"/>
    </xf>
    <xf numFmtId="0" fontId="0" fillId="6" borderId="0" xfId="0" applyFill="1"/>
    <xf numFmtId="0" fontId="0" fillId="0" borderId="18" xfId="0" applyBorder="1" applyAlignment="1">
      <alignment horizontal="center"/>
    </xf>
    <xf numFmtId="0" fontId="12" fillId="13" borderId="0" xfId="0" applyFont="1" applyFill="1" applyAlignment="1">
      <alignment horizontal="center"/>
    </xf>
    <xf numFmtId="0" fontId="0" fillId="0" borderId="20" xfId="0" applyBorder="1" applyAlignment="1">
      <alignment horizontal="center"/>
    </xf>
    <xf numFmtId="0" fontId="0" fillId="0" borderId="36" xfId="0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0" borderId="0" xfId="0" applyAlignment="1">
      <alignment horizontal="center"/>
    </xf>
    <xf numFmtId="0" fontId="3" fillId="2" borderId="9" xfId="0" applyFont="1" applyFill="1" applyBorder="1" applyAlignment="1">
      <alignment readingOrder="1"/>
    </xf>
    <xf numFmtId="0" fontId="3" fillId="2" borderId="8" xfId="0" applyFont="1" applyFill="1" applyBorder="1" applyAlignment="1">
      <alignment readingOrder="1"/>
    </xf>
    <xf numFmtId="0" fontId="4" fillId="0" borderId="10" xfId="0" applyFont="1" applyBorder="1" applyAlignment="1">
      <alignment readingOrder="1"/>
    </xf>
    <xf numFmtId="0" fontId="4" fillId="0" borderId="3" xfId="0" applyFont="1" applyBorder="1" applyAlignment="1">
      <alignment readingOrder="1"/>
    </xf>
    <xf numFmtId="0" fontId="4" fillId="0" borderId="5" xfId="0" applyFont="1" applyBorder="1" applyAlignment="1">
      <alignment readingOrder="1"/>
    </xf>
    <xf numFmtId="0" fontId="4" fillId="0" borderId="0" xfId="0" applyFont="1" applyAlignment="1">
      <alignment readingOrder="1"/>
    </xf>
    <xf numFmtId="0" fontId="3" fillId="2" borderId="2" xfId="0" applyFont="1" applyFill="1" applyBorder="1" applyAlignment="1">
      <alignment readingOrder="1"/>
    </xf>
    <xf numFmtId="0" fontId="1" fillId="2" borderId="2" xfId="0" applyFont="1" applyFill="1" applyBorder="1" applyAlignment="1">
      <alignment readingOrder="1"/>
    </xf>
    <xf numFmtId="0" fontId="1" fillId="2" borderId="9" xfId="0" applyFont="1" applyFill="1" applyBorder="1" applyAlignment="1">
      <alignment readingOrder="1"/>
    </xf>
    <xf numFmtId="0" fontId="1" fillId="2" borderId="8" xfId="0" applyFont="1" applyFill="1" applyBorder="1" applyAlignment="1">
      <alignment readingOrder="1"/>
    </xf>
    <xf numFmtId="0" fontId="1" fillId="2" borderId="4" xfId="0" applyFont="1" applyFill="1" applyBorder="1" applyAlignment="1">
      <alignment readingOrder="1"/>
    </xf>
    <xf numFmtId="0" fontId="1" fillId="2" borderId="6" xfId="0" applyFont="1" applyFill="1" applyBorder="1" applyAlignment="1">
      <alignment readingOrder="1"/>
    </xf>
    <xf numFmtId="0" fontId="1" fillId="2" borderId="11" xfId="0" applyFont="1" applyFill="1" applyBorder="1" applyAlignment="1">
      <alignment readingOrder="1"/>
    </xf>
    <xf numFmtId="0" fontId="8" fillId="4" borderId="0" xfId="0" applyFont="1" applyFill="1" applyAlignment="1">
      <alignment horizontal="center" wrapText="1"/>
    </xf>
    <xf numFmtId="0" fontId="5" fillId="2" borderId="10" xfId="0" applyFont="1" applyFill="1" applyBorder="1" applyAlignment="1">
      <alignment readingOrder="1"/>
    </xf>
    <xf numFmtId="0" fontId="5" fillId="2" borderId="4" xfId="0" applyFont="1" applyFill="1" applyBorder="1" applyAlignment="1">
      <alignment readingOrder="1"/>
    </xf>
    <xf numFmtId="0" fontId="5" fillId="2" borderId="5" xfId="0" applyFont="1" applyFill="1" applyBorder="1" applyAlignment="1">
      <alignment readingOrder="1"/>
    </xf>
    <xf numFmtId="0" fontId="5" fillId="2" borderId="6" xfId="0" applyFont="1" applyFill="1" applyBorder="1" applyAlignment="1">
      <alignment readingOrder="1"/>
    </xf>
    <xf numFmtId="0" fontId="5" fillId="2" borderId="7" xfId="0" applyFont="1" applyFill="1" applyBorder="1" applyAlignment="1">
      <alignment readingOrder="1"/>
    </xf>
    <xf numFmtId="0" fontId="5" fillId="2" borderId="11" xfId="0" applyFont="1" applyFill="1" applyBorder="1" applyAlignment="1">
      <alignment readingOrder="1"/>
    </xf>
    <xf numFmtId="0" fontId="1" fillId="2" borderId="12" xfId="0" applyFont="1" applyFill="1" applyBorder="1" applyAlignment="1">
      <alignment readingOrder="1"/>
    </xf>
    <xf numFmtId="0" fontId="1" fillId="2" borderId="13" xfId="0" applyFont="1" applyFill="1" applyBorder="1" applyAlignment="1">
      <alignment readingOrder="1"/>
    </xf>
    <xf numFmtId="0" fontId="7" fillId="3" borderId="0" xfId="0" applyFont="1" applyFill="1" applyAlignment="1">
      <alignment horizontal="center" vertical="center" wrapText="1"/>
    </xf>
    <xf numFmtId="0" fontId="0" fillId="0" borderId="10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5" borderId="5" xfId="0" applyFill="1" applyBorder="1" applyAlignment="1">
      <alignment horizontal="center" wrapText="1"/>
    </xf>
    <xf numFmtId="0" fontId="12" fillId="10" borderId="41" xfId="0" applyFont="1" applyFill="1" applyBorder="1" applyAlignment="1">
      <alignment horizontal="center" vertical="center"/>
    </xf>
    <xf numFmtId="0" fontId="12" fillId="10" borderId="0" xfId="0" applyFont="1" applyFill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8" xfId="0" applyBorder="1" applyAlignment="1">
      <alignment horizontal="center"/>
    </xf>
    <xf numFmtId="0" fontId="11" fillId="7" borderId="24" xfId="0" applyFont="1" applyFill="1" applyBorder="1"/>
    <xf numFmtId="0" fontId="14" fillId="7" borderId="25" xfId="0" applyFont="1" applyFill="1" applyBorder="1"/>
    <xf numFmtId="0" fontId="14" fillId="7" borderId="24" xfId="0" applyFont="1" applyFill="1" applyBorder="1"/>
  </cellXfs>
  <cellStyles count="3">
    <cellStyle name="Hyperlink" xfId="1" xr:uid="{00000000-000B-0000-0000-000008000000}"/>
    <cellStyle name="Normal" xfId="0" builtinId="0"/>
    <cellStyle name="Percent" xfId="2" builtinId="5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00.xml.rels><?xml version="1.0" encoding="UTF-8" standalone="yes"?>
<Relationships xmlns="http://schemas.openxmlformats.org/package/2006/relationships"><Relationship Id="rId2" Type="http://schemas.microsoft.com/office/2011/relationships/chartColorStyle" Target="colors100.xml"/><Relationship Id="rId1" Type="http://schemas.microsoft.com/office/2011/relationships/chartStyle" Target="style100.xml"/></Relationships>
</file>

<file path=xl/charts/_rels/chart101.xml.rels><?xml version="1.0" encoding="UTF-8" standalone="yes"?>
<Relationships xmlns="http://schemas.openxmlformats.org/package/2006/relationships"><Relationship Id="rId2" Type="http://schemas.microsoft.com/office/2011/relationships/chartColorStyle" Target="colors101.xml"/><Relationship Id="rId1" Type="http://schemas.microsoft.com/office/2011/relationships/chartStyle" Target="style101.xml"/></Relationships>
</file>

<file path=xl/charts/_rels/chart102.xml.rels><?xml version="1.0" encoding="UTF-8" standalone="yes"?>
<Relationships xmlns="http://schemas.openxmlformats.org/package/2006/relationships"><Relationship Id="rId2" Type="http://schemas.microsoft.com/office/2011/relationships/chartColorStyle" Target="colors102.xml"/><Relationship Id="rId1" Type="http://schemas.microsoft.com/office/2011/relationships/chartStyle" Target="style102.xml"/></Relationships>
</file>

<file path=xl/charts/_rels/chart103.xml.rels><?xml version="1.0" encoding="UTF-8" standalone="yes"?>
<Relationships xmlns="http://schemas.openxmlformats.org/package/2006/relationships"><Relationship Id="rId2" Type="http://schemas.microsoft.com/office/2011/relationships/chartColorStyle" Target="colors103.xml"/><Relationship Id="rId1" Type="http://schemas.microsoft.com/office/2011/relationships/chartStyle" Target="style103.xml"/></Relationships>
</file>

<file path=xl/charts/_rels/chart104.xml.rels><?xml version="1.0" encoding="UTF-8" standalone="yes"?>
<Relationships xmlns="http://schemas.openxmlformats.org/package/2006/relationships"><Relationship Id="rId2" Type="http://schemas.microsoft.com/office/2011/relationships/chartColorStyle" Target="colors104.xml"/><Relationship Id="rId1" Type="http://schemas.microsoft.com/office/2011/relationships/chartStyle" Target="style104.xml"/></Relationships>
</file>

<file path=xl/charts/_rels/chart105.xml.rels><?xml version="1.0" encoding="UTF-8" standalone="yes"?>
<Relationships xmlns="http://schemas.openxmlformats.org/package/2006/relationships"><Relationship Id="rId2" Type="http://schemas.microsoft.com/office/2011/relationships/chartColorStyle" Target="colors105.xml"/><Relationship Id="rId1" Type="http://schemas.microsoft.com/office/2011/relationships/chartStyle" Target="style105.xml"/></Relationships>
</file>

<file path=xl/charts/_rels/chart106.xml.rels><?xml version="1.0" encoding="UTF-8" standalone="yes"?>
<Relationships xmlns="http://schemas.openxmlformats.org/package/2006/relationships"><Relationship Id="rId2" Type="http://schemas.microsoft.com/office/2011/relationships/chartColorStyle" Target="colors106.xml"/><Relationship Id="rId1" Type="http://schemas.microsoft.com/office/2011/relationships/chartStyle" Target="style106.xml"/></Relationships>
</file>

<file path=xl/charts/_rels/chart107.xml.rels><?xml version="1.0" encoding="UTF-8" standalone="yes"?>
<Relationships xmlns="http://schemas.openxmlformats.org/package/2006/relationships"><Relationship Id="rId2" Type="http://schemas.microsoft.com/office/2011/relationships/chartColorStyle" Target="colors107.xml"/><Relationship Id="rId1" Type="http://schemas.microsoft.com/office/2011/relationships/chartStyle" Target="style107.xml"/></Relationships>
</file>

<file path=xl/charts/_rels/chart108.xml.rels><?xml version="1.0" encoding="UTF-8" standalone="yes"?>
<Relationships xmlns="http://schemas.openxmlformats.org/package/2006/relationships"><Relationship Id="rId2" Type="http://schemas.microsoft.com/office/2011/relationships/chartColorStyle" Target="colors108.xml"/><Relationship Id="rId1" Type="http://schemas.microsoft.com/office/2011/relationships/chartStyle" Target="style108.xml"/></Relationships>
</file>

<file path=xl/charts/_rels/chart109.xml.rels><?xml version="1.0" encoding="UTF-8" standalone="yes"?>
<Relationships xmlns="http://schemas.openxmlformats.org/package/2006/relationships"><Relationship Id="rId2" Type="http://schemas.microsoft.com/office/2011/relationships/chartColorStyle" Target="colors109.xml"/><Relationship Id="rId1" Type="http://schemas.microsoft.com/office/2011/relationships/chartStyle" Target="style109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0.xml.rels><?xml version="1.0" encoding="UTF-8" standalone="yes"?>
<Relationships xmlns="http://schemas.openxmlformats.org/package/2006/relationships"><Relationship Id="rId2" Type="http://schemas.microsoft.com/office/2011/relationships/chartColorStyle" Target="colors110.xml"/><Relationship Id="rId1" Type="http://schemas.microsoft.com/office/2011/relationships/chartStyle" Target="style110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58.xml"/><Relationship Id="rId1" Type="http://schemas.microsoft.com/office/2011/relationships/chartStyle" Target="style58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59.xml"/><Relationship Id="rId1" Type="http://schemas.microsoft.com/office/2011/relationships/chartStyle" Target="style59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0.xml.rels><?xml version="1.0" encoding="UTF-8" standalone="yes"?>
<Relationships xmlns="http://schemas.openxmlformats.org/package/2006/relationships"><Relationship Id="rId2" Type="http://schemas.microsoft.com/office/2011/relationships/chartColorStyle" Target="colors60.xml"/><Relationship Id="rId1" Type="http://schemas.microsoft.com/office/2011/relationships/chartStyle" Target="style60.xml"/></Relationships>
</file>

<file path=xl/charts/_rels/chart61.xml.rels><?xml version="1.0" encoding="UTF-8" standalone="yes"?>
<Relationships xmlns="http://schemas.openxmlformats.org/package/2006/relationships"><Relationship Id="rId2" Type="http://schemas.microsoft.com/office/2011/relationships/chartColorStyle" Target="colors61.xml"/><Relationship Id="rId1" Type="http://schemas.microsoft.com/office/2011/relationships/chartStyle" Target="style61.xml"/></Relationships>
</file>

<file path=xl/charts/_rels/chart62.xml.rels><?xml version="1.0" encoding="UTF-8" standalone="yes"?>
<Relationships xmlns="http://schemas.openxmlformats.org/package/2006/relationships"><Relationship Id="rId2" Type="http://schemas.microsoft.com/office/2011/relationships/chartColorStyle" Target="colors62.xml"/><Relationship Id="rId1" Type="http://schemas.microsoft.com/office/2011/relationships/chartStyle" Target="style62.xml"/></Relationships>
</file>

<file path=xl/charts/_rels/chart63.xml.rels><?xml version="1.0" encoding="UTF-8" standalone="yes"?>
<Relationships xmlns="http://schemas.openxmlformats.org/package/2006/relationships"><Relationship Id="rId2" Type="http://schemas.microsoft.com/office/2011/relationships/chartColorStyle" Target="colors63.xml"/><Relationship Id="rId1" Type="http://schemas.microsoft.com/office/2011/relationships/chartStyle" Target="style63.xml"/></Relationships>
</file>

<file path=xl/charts/_rels/chart64.xml.rels><?xml version="1.0" encoding="UTF-8" standalone="yes"?>
<Relationships xmlns="http://schemas.openxmlformats.org/package/2006/relationships"><Relationship Id="rId2" Type="http://schemas.microsoft.com/office/2011/relationships/chartColorStyle" Target="colors64.xml"/><Relationship Id="rId1" Type="http://schemas.microsoft.com/office/2011/relationships/chartStyle" Target="style64.xml"/></Relationships>
</file>

<file path=xl/charts/_rels/chart65.xml.rels><?xml version="1.0" encoding="UTF-8" standalone="yes"?>
<Relationships xmlns="http://schemas.openxmlformats.org/package/2006/relationships"><Relationship Id="rId2" Type="http://schemas.microsoft.com/office/2011/relationships/chartColorStyle" Target="colors65.xml"/><Relationship Id="rId1" Type="http://schemas.microsoft.com/office/2011/relationships/chartStyle" Target="style65.xml"/></Relationships>
</file>

<file path=xl/charts/_rels/chart66.xml.rels><?xml version="1.0" encoding="UTF-8" standalone="yes"?>
<Relationships xmlns="http://schemas.openxmlformats.org/package/2006/relationships"><Relationship Id="rId2" Type="http://schemas.microsoft.com/office/2011/relationships/chartColorStyle" Target="colors66.xml"/><Relationship Id="rId1" Type="http://schemas.microsoft.com/office/2011/relationships/chartStyle" Target="style66.xml"/></Relationships>
</file>

<file path=xl/charts/_rels/chart67.xml.rels><?xml version="1.0" encoding="UTF-8" standalone="yes"?>
<Relationships xmlns="http://schemas.openxmlformats.org/package/2006/relationships"><Relationship Id="rId2" Type="http://schemas.microsoft.com/office/2011/relationships/chartColorStyle" Target="colors67.xml"/><Relationship Id="rId1" Type="http://schemas.microsoft.com/office/2011/relationships/chartStyle" Target="style67.xml"/></Relationships>
</file>

<file path=xl/charts/_rels/chart68.xml.rels><?xml version="1.0" encoding="UTF-8" standalone="yes"?>
<Relationships xmlns="http://schemas.openxmlformats.org/package/2006/relationships"><Relationship Id="rId2" Type="http://schemas.microsoft.com/office/2011/relationships/chartColorStyle" Target="colors68.xml"/><Relationship Id="rId1" Type="http://schemas.microsoft.com/office/2011/relationships/chartStyle" Target="style68.xml"/></Relationships>
</file>

<file path=xl/charts/_rels/chart69.xml.rels><?xml version="1.0" encoding="UTF-8" standalone="yes"?>
<Relationships xmlns="http://schemas.openxmlformats.org/package/2006/relationships"><Relationship Id="rId2" Type="http://schemas.microsoft.com/office/2011/relationships/chartColorStyle" Target="colors69.xml"/><Relationship Id="rId1" Type="http://schemas.microsoft.com/office/2011/relationships/chartStyle" Target="style69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0.xml.rels><?xml version="1.0" encoding="UTF-8" standalone="yes"?>
<Relationships xmlns="http://schemas.openxmlformats.org/package/2006/relationships"><Relationship Id="rId2" Type="http://schemas.microsoft.com/office/2011/relationships/chartColorStyle" Target="colors70.xml"/><Relationship Id="rId1" Type="http://schemas.microsoft.com/office/2011/relationships/chartStyle" Target="style70.xml"/></Relationships>
</file>

<file path=xl/charts/_rels/chart71.xml.rels><?xml version="1.0" encoding="UTF-8" standalone="yes"?>
<Relationships xmlns="http://schemas.openxmlformats.org/package/2006/relationships"><Relationship Id="rId2" Type="http://schemas.microsoft.com/office/2011/relationships/chartColorStyle" Target="colors71.xml"/><Relationship Id="rId1" Type="http://schemas.microsoft.com/office/2011/relationships/chartStyle" Target="style71.xml"/></Relationships>
</file>

<file path=xl/charts/_rels/chart72.xml.rels><?xml version="1.0" encoding="UTF-8" standalone="yes"?>
<Relationships xmlns="http://schemas.openxmlformats.org/package/2006/relationships"><Relationship Id="rId2" Type="http://schemas.microsoft.com/office/2011/relationships/chartColorStyle" Target="colors72.xml"/><Relationship Id="rId1" Type="http://schemas.microsoft.com/office/2011/relationships/chartStyle" Target="style72.xml"/></Relationships>
</file>

<file path=xl/charts/_rels/chart73.xml.rels><?xml version="1.0" encoding="UTF-8" standalone="yes"?>
<Relationships xmlns="http://schemas.openxmlformats.org/package/2006/relationships"><Relationship Id="rId2" Type="http://schemas.microsoft.com/office/2011/relationships/chartColorStyle" Target="colors73.xml"/><Relationship Id="rId1" Type="http://schemas.microsoft.com/office/2011/relationships/chartStyle" Target="style73.xml"/></Relationships>
</file>

<file path=xl/charts/_rels/chart74.xml.rels><?xml version="1.0" encoding="UTF-8" standalone="yes"?>
<Relationships xmlns="http://schemas.openxmlformats.org/package/2006/relationships"><Relationship Id="rId2" Type="http://schemas.microsoft.com/office/2011/relationships/chartColorStyle" Target="colors74.xml"/><Relationship Id="rId1" Type="http://schemas.microsoft.com/office/2011/relationships/chartStyle" Target="style74.xml"/></Relationships>
</file>

<file path=xl/charts/_rels/chart75.xml.rels><?xml version="1.0" encoding="UTF-8" standalone="yes"?>
<Relationships xmlns="http://schemas.openxmlformats.org/package/2006/relationships"><Relationship Id="rId2" Type="http://schemas.microsoft.com/office/2011/relationships/chartColorStyle" Target="colors75.xml"/><Relationship Id="rId1" Type="http://schemas.microsoft.com/office/2011/relationships/chartStyle" Target="style75.xml"/></Relationships>
</file>

<file path=xl/charts/_rels/chart76.xml.rels><?xml version="1.0" encoding="UTF-8" standalone="yes"?>
<Relationships xmlns="http://schemas.openxmlformats.org/package/2006/relationships"><Relationship Id="rId2" Type="http://schemas.microsoft.com/office/2011/relationships/chartColorStyle" Target="colors76.xml"/><Relationship Id="rId1" Type="http://schemas.microsoft.com/office/2011/relationships/chartStyle" Target="style76.xml"/></Relationships>
</file>

<file path=xl/charts/_rels/chart77.xml.rels><?xml version="1.0" encoding="UTF-8" standalone="yes"?>
<Relationships xmlns="http://schemas.openxmlformats.org/package/2006/relationships"><Relationship Id="rId2" Type="http://schemas.microsoft.com/office/2011/relationships/chartColorStyle" Target="colors77.xml"/><Relationship Id="rId1" Type="http://schemas.microsoft.com/office/2011/relationships/chartStyle" Target="style77.xml"/></Relationships>
</file>

<file path=xl/charts/_rels/chart78.xml.rels><?xml version="1.0" encoding="UTF-8" standalone="yes"?>
<Relationships xmlns="http://schemas.openxmlformats.org/package/2006/relationships"><Relationship Id="rId2" Type="http://schemas.microsoft.com/office/2011/relationships/chartColorStyle" Target="colors78.xml"/><Relationship Id="rId1" Type="http://schemas.microsoft.com/office/2011/relationships/chartStyle" Target="style78.xml"/></Relationships>
</file>

<file path=xl/charts/_rels/chart79.xml.rels><?xml version="1.0" encoding="UTF-8" standalone="yes"?>
<Relationships xmlns="http://schemas.openxmlformats.org/package/2006/relationships"><Relationship Id="rId2" Type="http://schemas.microsoft.com/office/2011/relationships/chartColorStyle" Target="colors79.xml"/><Relationship Id="rId1" Type="http://schemas.microsoft.com/office/2011/relationships/chartStyle" Target="style7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0.xml.rels><?xml version="1.0" encoding="UTF-8" standalone="yes"?>
<Relationships xmlns="http://schemas.openxmlformats.org/package/2006/relationships"><Relationship Id="rId2" Type="http://schemas.microsoft.com/office/2011/relationships/chartColorStyle" Target="colors80.xml"/><Relationship Id="rId1" Type="http://schemas.microsoft.com/office/2011/relationships/chartStyle" Target="style80.xml"/></Relationships>
</file>

<file path=xl/charts/_rels/chart81.xml.rels><?xml version="1.0" encoding="UTF-8" standalone="yes"?>
<Relationships xmlns="http://schemas.openxmlformats.org/package/2006/relationships"><Relationship Id="rId2" Type="http://schemas.microsoft.com/office/2011/relationships/chartColorStyle" Target="colors81.xml"/><Relationship Id="rId1" Type="http://schemas.microsoft.com/office/2011/relationships/chartStyle" Target="style81.xml"/></Relationships>
</file>

<file path=xl/charts/_rels/chart82.xml.rels><?xml version="1.0" encoding="UTF-8" standalone="yes"?>
<Relationships xmlns="http://schemas.openxmlformats.org/package/2006/relationships"><Relationship Id="rId2" Type="http://schemas.microsoft.com/office/2011/relationships/chartColorStyle" Target="colors82.xml"/><Relationship Id="rId1" Type="http://schemas.microsoft.com/office/2011/relationships/chartStyle" Target="style82.xml"/></Relationships>
</file>

<file path=xl/charts/_rels/chart83.xml.rels><?xml version="1.0" encoding="UTF-8" standalone="yes"?>
<Relationships xmlns="http://schemas.openxmlformats.org/package/2006/relationships"><Relationship Id="rId2" Type="http://schemas.microsoft.com/office/2011/relationships/chartColorStyle" Target="colors83.xml"/><Relationship Id="rId1" Type="http://schemas.microsoft.com/office/2011/relationships/chartStyle" Target="style83.xml"/></Relationships>
</file>

<file path=xl/charts/_rels/chart84.xml.rels><?xml version="1.0" encoding="UTF-8" standalone="yes"?>
<Relationships xmlns="http://schemas.openxmlformats.org/package/2006/relationships"><Relationship Id="rId2" Type="http://schemas.microsoft.com/office/2011/relationships/chartColorStyle" Target="colors84.xml"/><Relationship Id="rId1" Type="http://schemas.microsoft.com/office/2011/relationships/chartStyle" Target="style84.xml"/></Relationships>
</file>

<file path=xl/charts/_rels/chart85.xml.rels><?xml version="1.0" encoding="UTF-8" standalone="yes"?>
<Relationships xmlns="http://schemas.openxmlformats.org/package/2006/relationships"><Relationship Id="rId2" Type="http://schemas.microsoft.com/office/2011/relationships/chartColorStyle" Target="colors85.xml"/><Relationship Id="rId1" Type="http://schemas.microsoft.com/office/2011/relationships/chartStyle" Target="style85.xml"/></Relationships>
</file>

<file path=xl/charts/_rels/chart86.xml.rels><?xml version="1.0" encoding="UTF-8" standalone="yes"?>
<Relationships xmlns="http://schemas.openxmlformats.org/package/2006/relationships"><Relationship Id="rId2" Type="http://schemas.microsoft.com/office/2011/relationships/chartColorStyle" Target="colors86.xml"/><Relationship Id="rId1" Type="http://schemas.microsoft.com/office/2011/relationships/chartStyle" Target="style86.xml"/></Relationships>
</file>

<file path=xl/charts/_rels/chart87.xml.rels><?xml version="1.0" encoding="UTF-8" standalone="yes"?>
<Relationships xmlns="http://schemas.openxmlformats.org/package/2006/relationships"><Relationship Id="rId2" Type="http://schemas.microsoft.com/office/2011/relationships/chartColorStyle" Target="colors87.xml"/><Relationship Id="rId1" Type="http://schemas.microsoft.com/office/2011/relationships/chartStyle" Target="style87.xml"/></Relationships>
</file>

<file path=xl/charts/_rels/chart88.xml.rels><?xml version="1.0" encoding="UTF-8" standalone="yes"?>
<Relationships xmlns="http://schemas.openxmlformats.org/package/2006/relationships"><Relationship Id="rId2" Type="http://schemas.microsoft.com/office/2011/relationships/chartColorStyle" Target="colors88.xml"/><Relationship Id="rId1" Type="http://schemas.microsoft.com/office/2011/relationships/chartStyle" Target="style88.xml"/></Relationships>
</file>

<file path=xl/charts/_rels/chart89.xml.rels><?xml version="1.0" encoding="UTF-8" standalone="yes"?>
<Relationships xmlns="http://schemas.openxmlformats.org/package/2006/relationships"><Relationship Id="rId2" Type="http://schemas.microsoft.com/office/2011/relationships/chartColorStyle" Target="colors89.xml"/><Relationship Id="rId1" Type="http://schemas.microsoft.com/office/2011/relationships/chartStyle" Target="style8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0.xml.rels><?xml version="1.0" encoding="UTF-8" standalone="yes"?>
<Relationships xmlns="http://schemas.openxmlformats.org/package/2006/relationships"><Relationship Id="rId2" Type="http://schemas.microsoft.com/office/2011/relationships/chartColorStyle" Target="colors90.xml"/><Relationship Id="rId1" Type="http://schemas.microsoft.com/office/2011/relationships/chartStyle" Target="style90.xml"/></Relationships>
</file>

<file path=xl/charts/_rels/chart91.xml.rels><?xml version="1.0" encoding="UTF-8" standalone="yes"?>
<Relationships xmlns="http://schemas.openxmlformats.org/package/2006/relationships"><Relationship Id="rId2" Type="http://schemas.microsoft.com/office/2011/relationships/chartColorStyle" Target="colors91.xml"/><Relationship Id="rId1" Type="http://schemas.microsoft.com/office/2011/relationships/chartStyle" Target="style91.xml"/></Relationships>
</file>

<file path=xl/charts/_rels/chart92.xml.rels><?xml version="1.0" encoding="UTF-8" standalone="yes"?>
<Relationships xmlns="http://schemas.openxmlformats.org/package/2006/relationships"><Relationship Id="rId2" Type="http://schemas.microsoft.com/office/2011/relationships/chartColorStyle" Target="colors92.xml"/><Relationship Id="rId1" Type="http://schemas.microsoft.com/office/2011/relationships/chartStyle" Target="style92.xml"/></Relationships>
</file>

<file path=xl/charts/_rels/chart93.xml.rels><?xml version="1.0" encoding="UTF-8" standalone="yes"?>
<Relationships xmlns="http://schemas.openxmlformats.org/package/2006/relationships"><Relationship Id="rId2" Type="http://schemas.microsoft.com/office/2011/relationships/chartColorStyle" Target="colors93.xml"/><Relationship Id="rId1" Type="http://schemas.microsoft.com/office/2011/relationships/chartStyle" Target="style93.xml"/></Relationships>
</file>

<file path=xl/charts/_rels/chart94.xml.rels><?xml version="1.0" encoding="UTF-8" standalone="yes"?>
<Relationships xmlns="http://schemas.openxmlformats.org/package/2006/relationships"><Relationship Id="rId2" Type="http://schemas.microsoft.com/office/2011/relationships/chartColorStyle" Target="colors94.xml"/><Relationship Id="rId1" Type="http://schemas.microsoft.com/office/2011/relationships/chartStyle" Target="style94.xml"/></Relationships>
</file>

<file path=xl/charts/_rels/chart95.xml.rels><?xml version="1.0" encoding="UTF-8" standalone="yes"?>
<Relationships xmlns="http://schemas.openxmlformats.org/package/2006/relationships"><Relationship Id="rId2" Type="http://schemas.microsoft.com/office/2011/relationships/chartColorStyle" Target="colors95.xml"/><Relationship Id="rId1" Type="http://schemas.microsoft.com/office/2011/relationships/chartStyle" Target="style95.xml"/></Relationships>
</file>

<file path=xl/charts/_rels/chart96.xml.rels><?xml version="1.0" encoding="UTF-8" standalone="yes"?>
<Relationships xmlns="http://schemas.openxmlformats.org/package/2006/relationships"><Relationship Id="rId2" Type="http://schemas.microsoft.com/office/2011/relationships/chartColorStyle" Target="colors96.xml"/><Relationship Id="rId1" Type="http://schemas.microsoft.com/office/2011/relationships/chartStyle" Target="style96.xml"/></Relationships>
</file>

<file path=xl/charts/_rels/chart97.xml.rels><?xml version="1.0" encoding="UTF-8" standalone="yes"?>
<Relationships xmlns="http://schemas.openxmlformats.org/package/2006/relationships"><Relationship Id="rId2" Type="http://schemas.microsoft.com/office/2011/relationships/chartColorStyle" Target="colors97.xml"/><Relationship Id="rId1" Type="http://schemas.microsoft.com/office/2011/relationships/chartStyle" Target="style97.xml"/></Relationships>
</file>

<file path=xl/charts/_rels/chart98.xml.rels><?xml version="1.0" encoding="UTF-8" standalone="yes"?>
<Relationships xmlns="http://schemas.openxmlformats.org/package/2006/relationships"><Relationship Id="rId2" Type="http://schemas.microsoft.com/office/2011/relationships/chartColorStyle" Target="colors98.xml"/><Relationship Id="rId1" Type="http://schemas.microsoft.com/office/2011/relationships/chartStyle" Target="style98.xml"/></Relationships>
</file>

<file path=xl/charts/_rels/chart99.xml.rels><?xml version="1.0" encoding="UTF-8" standalone="yes"?>
<Relationships xmlns="http://schemas.openxmlformats.org/package/2006/relationships"><Relationship Id="rId2" Type="http://schemas.microsoft.com/office/2011/relationships/chartColorStyle" Target="colors99.xml"/><Relationship Id="rId1" Type="http://schemas.microsoft.com/office/2011/relationships/chartStyle" Target="style9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</a:t>
            </a:r>
            <a:r>
              <a:rPr lang="en-US" baseline="0"/>
              <a:t> vs Demand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Production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'São Miguel'!$AX$3:$BI$3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'São Miguel'!$AX$19:$BI$19</c:f>
              <c:numCache>
                <c:formatCode>General</c:formatCode>
                <c:ptCount val="12"/>
                <c:pt idx="0">
                  <c:v>38329703</c:v>
                </c:pt>
                <c:pt idx="1">
                  <c:v>34468181</c:v>
                </c:pt>
                <c:pt idx="2">
                  <c:v>37892715</c:v>
                </c:pt>
                <c:pt idx="3">
                  <c:v>36028902</c:v>
                </c:pt>
                <c:pt idx="4">
                  <c:v>37527887</c:v>
                </c:pt>
                <c:pt idx="5">
                  <c:v>37188182</c:v>
                </c:pt>
                <c:pt idx="6">
                  <c:v>40392234</c:v>
                </c:pt>
                <c:pt idx="7">
                  <c:v>41527308</c:v>
                </c:pt>
                <c:pt idx="8">
                  <c:v>40817663</c:v>
                </c:pt>
                <c:pt idx="9">
                  <c:v>38856596</c:v>
                </c:pt>
                <c:pt idx="10">
                  <c:v>37574577</c:v>
                </c:pt>
                <c:pt idx="11">
                  <c:v>39198190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8FA-475A-BB5D-D77F2D1B3300}"/>
            </c:ext>
          </c:extLst>
        </c:ser>
        <c:ser>
          <c:idx val="1"/>
          <c:order val="1"/>
          <c:tx>
            <c:v>Demand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'São Miguel'!$AX$3:$BI$3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'São Miguel'!$AX$38:$BI$38</c:f>
              <c:numCache>
                <c:formatCode>General</c:formatCode>
                <c:ptCount val="12"/>
                <c:pt idx="0">
                  <c:v>34328910</c:v>
                </c:pt>
                <c:pt idx="1">
                  <c:v>32859333</c:v>
                </c:pt>
                <c:pt idx="2">
                  <c:v>35438418</c:v>
                </c:pt>
                <c:pt idx="3">
                  <c:v>33848861</c:v>
                </c:pt>
                <c:pt idx="4">
                  <c:v>16104756</c:v>
                </c:pt>
                <c:pt idx="5">
                  <c:v>53649730</c:v>
                </c:pt>
                <c:pt idx="6">
                  <c:v>36644135</c:v>
                </c:pt>
                <c:pt idx="7">
                  <c:v>38225662</c:v>
                </c:pt>
                <c:pt idx="8">
                  <c:v>38863032</c:v>
                </c:pt>
                <c:pt idx="9">
                  <c:v>37224817</c:v>
                </c:pt>
                <c:pt idx="10">
                  <c:v>34612341</c:v>
                </c:pt>
                <c:pt idx="11">
                  <c:v>32646974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8FA-475A-BB5D-D77F2D1B33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45813256"/>
        <c:axId val="845815304"/>
      </c:barChart>
      <c:catAx>
        <c:axId val="845813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845815304"/>
        <c:crosses val="autoZero"/>
        <c:auto val="1"/>
        <c:lblAlgn val="ctr"/>
        <c:lblOffset val="100"/>
        <c:noMultiLvlLbl val="0"/>
      </c:catAx>
      <c:valAx>
        <c:axId val="845815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845813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9084470691163609"/>
          <c:y val="0.88715223097112861"/>
          <c:w val="0.21370495854434987"/>
          <c:h val="5.137022255779671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Consumption vs Production of Renewable energy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Consumption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Miguel'!$DF$130:$DO$130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Miguel'!$DF$132:$DO$132</c:f>
              <c:numCache>
                <c:formatCode>General</c:formatCode>
                <c:ptCount val="10"/>
                <c:pt idx="0">
                  <c:v>149471.88457711443</c:v>
                </c:pt>
                <c:pt idx="1">
                  <c:v>142354.17578772802</c:v>
                </c:pt>
                <c:pt idx="2">
                  <c:v>124559.90381426203</c:v>
                </c:pt>
                <c:pt idx="3">
                  <c:v>135236.46699834161</c:v>
                </c:pt>
                <c:pt idx="4">
                  <c:v>185060.42852404641</c:v>
                </c:pt>
                <c:pt idx="5">
                  <c:v>220648.97247097842</c:v>
                </c:pt>
                <c:pt idx="6">
                  <c:v>220648.97247097842</c:v>
                </c:pt>
                <c:pt idx="7">
                  <c:v>206413.5548922056</c:v>
                </c:pt>
                <c:pt idx="8">
                  <c:v>195736.99170812604</c:v>
                </c:pt>
                <c:pt idx="9">
                  <c:v>208192.98208955221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367-4171-96E5-2C0CBCE7D0C9}"/>
            </c:ext>
          </c:extLst>
        </c:ser>
        <c:ser>
          <c:idx val="1"/>
          <c:order val="1"/>
          <c:tx>
            <c:v>Production of Renewable Energy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Miguel'!$DF$130:$DO$130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Miguel'!$DF$140:$DO$140</c:f>
              <c:numCache>
                <c:formatCode>General</c:formatCode>
                <c:ptCount val="10"/>
                <c:pt idx="0">
                  <c:v>54574.667038990381</c:v>
                </c:pt>
                <c:pt idx="1">
                  <c:v>54720.314515973456</c:v>
                </c:pt>
                <c:pt idx="2">
                  <c:v>57723.456904090868</c:v>
                </c:pt>
                <c:pt idx="3">
                  <c:v>55203.395733535595</c:v>
                </c:pt>
                <c:pt idx="4">
                  <c:v>59798.716749513565</c:v>
                </c:pt>
                <c:pt idx="5">
                  <c:v>57123.661602545806</c:v>
                </c:pt>
                <c:pt idx="6">
                  <c:v>57588.169374009602</c:v>
                </c:pt>
                <c:pt idx="7">
                  <c:v>60841.769152134104</c:v>
                </c:pt>
                <c:pt idx="8">
                  <c:v>55441.017842628215</c:v>
                </c:pt>
                <c:pt idx="9">
                  <c:v>57238.697753245069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367-4171-96E5-2C0CBCE7D0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80876296"/>
        <c:axId val="780882440"/>
      </c:lineChart>
      <c:catAx>
        <c:axId val="780876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80882440"/>
        <c:crosses val="autoZero"/>
        <c:auto val="1"/>
        <c:lblAlgn val="ctr"/>
        <c:lblOffset val="100"/>
        <c:noMultiLvlLbl val="0"/>
      </c:catAx>
      <c:valAx>
        <c:axId val="780882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80876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0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</a:t>
            </a:r>
            <a:r>
              <a:rPr lang="en-US" baseline="0"/>
              <a:t> vs Demand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Production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'São Miguel'!$AX$3:$BI$3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'São Miguel'!$AX$19:$BI$19</c:f>
              <c:numCache>
                <c:formatCode>General</c:formatCode>
                <c:ptCount val="12"/>
                <c:pt idx="0">
                  <c:v>38329703</c:v>
                </c:pt>
                <c:pt idx="1">
                  <c:v>34468181</c:v>
                </c:pt>
                <c:pt idx="2">
                  <c:v>37892715</c:v>
                </c:pt>
                <c:pt idx="3">
                  <c:v>36028902</c:v>
                </c:pt>
                <c:pt idx="4">
                  <c:v>37527887</c:v>
                </c:pt>
                <c:pt idx="5">
                  <c:v>37188182</c:v>
                </c:pt>
                <c:pt idx="6">
                  <c:v>40392234</c:v>
                </c:pt>
                <c:pt idx="7">
                  <c:v>41527308</c:v>
                </c:pt>
                <c:pt idx="8">
                  <c:v>40817663</c:v>
                </c:pt>
                <c:pt idx="9">
                  <c:v>38856596</c:v>
                </c:pt>
                <c:pt idx="10">
                  <c:v>37574577</c:v>
                </c:pt>
                <c:pt idx="11">
                  <c:v>39198190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99F-470E-89A3-121DFAF8AC15}"/>
            </c:ext>
          </c:extLst>
        </c:ser>
        <c:ser>
          <c:idx val="1"/>
          <c:order val="1"/>
          <c:tx>
            <c:v>Demand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'São Miguel'!$AX$3:$BI$3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'São Miguel'!$AX$38:$BI$38</c:f>
              <c:numCache>
                <c:formatCode>General</c:formatCode>
                <c:ptCount val="12"/>
                <c:pt idx="0">
                  <c:v>34328910</c:v>
                </c:pt>
                <c:pt idx="1">
                  <c:v>32859333</c:v>
                </c:pt>
                <c:pt idx="2">
                  <c:v>35438418</c:v>
                </c:pt>
                <c:pt idx="3">
                  <c:v>33848861</c:v>
                </c:pt>
                <c:pt idx="4">
                  <c:v>16104756</c:v>
                </c:pt>
                <c:pt idx="5">
                  <c:v>53649730</c:v>
                </c:pt>
                <c:pt idx="6">
                  <c:v>36644135</c:v>
                </c:pt>
                <c:pt idx="7">
                  <c:v>38225662</c:v>
                </c:pt>
                <c:pt idx="8">
                  <c:v>38863032</c:v>
                </c:pt>
                <c:pt idx="9">
                  <c:v>37224817</c:v>
                </c:pt>
                <c:pt idx="10">
                  <c:v>34612341</c:v>
                </c:pt>
                <c:pt idx="11">
                  <c:v>32646974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99F-470E-89A3-121DFAF8AC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45813256"/>
        <c:axId val="845815304"/>
      </c:barChart>
      <c:catAx>
        <c:axId val="845813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845815304"/>
        <c:crosses val="autoZero"/>
        <c:auto val="1"/>
        <c:lblAlgn val="ctr"/>
        <c:lblOffset val="100"/>
        <c:noMultiLvlLbl val="0"/>
      </c:catAx>
      <c:valAx>
        <c:axId val="845815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845813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9084470691163609"/>
          <c:y val="0.88715223097112861"/>
          <c:w val="0.21370495854434987"/>
          <c:h val="5.137022255779671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0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Renewables in Energy Production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v>Renewable Sources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'São Miguel'!$AX$3:$BI$3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'São Miguel'!$AX$21:$BI$21</c:f>
              <c:numCache>
                <c:formatCode>General</c:formatCode>
                <c:ptCount val="12"/>
                <c:pt idx="0">
                  <c:v>8671910</c:v>
                </c:pt>
                <c:pt idx="1">
                  <c:v>16710946</c:v>
                </c:pt>
                <c:pt idx="2">
                  <c:v>19702134</c:v>
                </c:pt>
                <c:pt idx="3">
                  <c:v>19185884</c:v>
                </c:pt>
                <c:pt idx="4">
                  <c:v>17557252</c:v>
                </c:pt>
                <c:pt idx="5">
                  <c:v>15986398</c:v>
                </c:pt>
                <c:pt idx="6">
                  <c:v>16963695</c:v>
                </c:pt>
                <c:pt idx="7">
                  <c:v>17697885</c:v>
                </c:pt>
                <c:pt idx="8">
                  <c:v>16093436</c:v>
                </c:pt>
                <c:pt idx="9">
                  <c:v>17330720</c:v>
                </c:pt>
                <c:pt idx="10">
                  <c:v>16071911</c:v>
                </c:pt>
                <c:pt idx="11">
                  <c:v>16751495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D6B-4950-829C-C59A2E0D4E59}"/>
            </c:ext>
          </c:extLst>
        </c:ser>
        <c:ser>
          <c:idx val="1"/>
          <c:order val="1"/>
          <c:tx>
            <c:v>Fossil Fuels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'São Miguel'!$AX$3:$BI$3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'São Miguel'!$AX$23:$BI$23</c:f>
              <c:numCache>
                <c:formatCode>General</c:formatCode>
                <c:ptCount val="12"/>
                <c:pt idx="0">
                  <c:v>29657793</c:v>
                </c:pt>
                <c:pt idx="1">
                  <c:v>17757235</c:v>
                </c:pt>
                <c:pt idx="2">
                  <c:v>18190581</c:v>
                </c:pt>
                <c:pt idx="3">
                  <c:v>16843018</c:v>
                </c:pt>
                <c:pt idx="4">
                  <c:v>19970635</c:v>
                </c:pt>
                <c:pt idx="5">
                  <c:v>21201784</c:v>
                </c:pt>
                <c:pt idx="6">
                  <c:v>23428539</c:v>
                </c:pt>
                <c:pt idx="7">
                  <c:v>23829423</c:v>
                </c:pt>
                <c:pt idx="8">
                  <c:v>24724227</c:v>
                </c:pt>
                <c:pt idx="9">
                  <c:v>21525876</c:v>
                </c:pt>
                <c:pt idx="10">
                  <c:v>21502666</c:v>
                </c:pt>
                <c:pt idx="11">
                  <c:v>22446695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D6B-4950-829C-C59A2E0D4E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9986568"/>
        <c:axId val="9994760"/>
      </c:barChart>
      <c:catAx>
        <c:axId val="9986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994760"/>
        <c:crosses val="autoZero"/>
        <c:auto val="1"/>
        <c:lblAlgn val="ctr"/>
        <c:lblOffset val="100"/>
        <c:noMultiLvlLbl val="0"/>
      </c:catAx>
      <c:valAx>
        <c:axId val="9994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986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9084470691163609"/>
          <c:y val="0.89062445319335082"/>
          <c:w val="0.46807895888014001"/>
          <c:h val="7.81255468066491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0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Percentage of Renewables in Energy Production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v>Renewable Sources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Faial!$AX$3:$BI$3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Faial!$AX$21:$BI$21</c:f>
              <c:numCache>
                <c:formatCode>General</c:formatCode>
                <c:ptCount val="12"/>
                <c:pt idx="0">
                  <c:v>415244</c:v>
                </c:pt>
                <c:pt idx="1">
                  <c:v>307648</c:v>
                </c:pt>
                <c:pt idx="2">
                  <c:v>642500</c:v>
                </c:pt>
                <c:pt idx="3">
                  <c:v>666103</c:v>
                </c:pt>
                <c:pt idx="4">
                  <c:v>527788</c:v>
                </c:pt>
                <c:pt idx="5">
                  <c:v>486492</c:v>
                </c:pt>
                <c:pt idx="6">
                  <c:v>221869</c:v>
                </c:pt>
                <c:pt idx="7">
                  <c:v>173758</c:v>
                </c:pt>
                <c:pt idx="8">
                  <c:v>412818</c:v>
                </c:pt>
                <c:pt idx="9">
                  <c:v>515675</c:v>
                </c:pt>
                <c:pt idx="10">
                  <c:v>502834</c:v>
                </c:pt>
                <c:pt idx="11">
                  <c:v>666344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148-4618-80C0-BE30AA0259CB}"/>
            </c:ext>
          </c:extLst>
        </c:ser>
        <c:ser>
          <c:idx val="1"/>
          <c:order val="1"/>
          <c:tx>
            <c:v>Fossil Fuels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Faial!$AX$3:$BI$3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Faial!$AX$22:$BI$22</c:f>
              <c:numCache>
                <c:formatCode>General</c:formatCode>
                <c:ptCount val="12"/>
                <c:pt idx="0">
                  <c:v>3905010</c:v>
                </c:pt>
                <c:pt idx="1">
                  <c:v>3513185</c:v>
                </c:pt>
                <c:pt idx="2">
                  <c:v>3596482</c:v>
                </c:pt>
                <c:pt idx="3">
                  <c:v>3346621</c:v>
                </c:pt>
                <c:pt idx="4">
                  <c:v>3525238</c:v>
                </c:pt>
                <c:pt idx="5">
                  <c:v>3577009</c:v>
                </c:pt>
                <c:pt idx="6">
                  <c:v>4488366</c:v>
                </c:pt>
                <c:pt idx="7">
                  <c:v>4715518</c:v>
                </c:pt>
                <c:pt idx="8">
                  <c:v>4134998</c:v>
                </c:pt>
                <c:pt idx="9">
                  <c:v>3716364</c:v>
                </c:pt>
                <c:pt idx="10">
                  <c:v>3578579</c:v>
                </c:pt>
                <c:pt idx="11">
                  <c:v>3670635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148-4618-80C0-BE30AA0259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339372552"/>
        <c:axId val="1339375624"/>
      </c:barChart>
      <c:catAx>
        <c:axId val="1339372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339375624"/>
        <c:crosses val="autoZero"/>
        <c:auto val="1"/>
        <c:lblAlgn val="ctr"/>
        <c:lblOffset val="100"/>
        <c:noMultiLvlLbl val="0"/>
      </c:catAx>
      <c:valAx>
        <c:axId val="1339375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339372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0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Percentage of Renewables in Energy Production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v>Renewable Sources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Flores!$BG$21:$BR$21</c:f>
              <c:numCache>
                <c:formatCode>General</c:formatCode>
                <c:ptCount val="12"/>
                <c:pt idx="0">
                  <c:v>494487</c:v>
                </c:pt>
                <c:pt idx="1">
                  <c:v>365888</c:v>
                </c:pt>
                <c:pt idx="2">
                  <c:v>711262</c:v>
                </c:pt>
                <c:pt idx="3">
                  <c:v>583842</c:v>
                </c:pt>
                <c:pt idx="4">
                  <c:v>523106</c:v>
                </c:pt>
                <c:pt idx="5">
                  <c:v>444609</c:v>
                </c:pt>
                <c:pt idx="6">
                  <c:v>232187</c:v>
                </c:pt>
                <c:pt idx="7">
                  <c:v>232890</c:v>
                </c:pt>
                <c:pt idx="8">
                  <c:v>382105</c:v>
                </c:pt>
                <c:pt idx="9">
                  <c:v>473900</c:v>
                </c:pt>
                <c:pt idx="10">
                  <c:v>633496</c:v>
                </c:pt>
                <c:pt idx="11">
                  <c:v>686382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D58-4355-B865-6B17045F2756}"/>
            </c:ext>
          </c:extLst>
        </c:ser>
        <c:ser>
          <c:idx val="1"/>
          <c:order val="1"/>
          <c:tx>
            <c:v>Fossil Fuels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Flores!$BG$22:$BR$22</c:f>
              <c:numCache>
                <c:formatCode>General</c:formatCode>
                <c:ptCount val="12"/>
                <c:pt idx="0">
                  <c:v>515820</c:v>
                </c:pt>
                <c:pt idx="1">
                  <c:v>532717</c:v>
                </c:pt>
                <c:pt idx="2">
                  <c:v>297324</c:v>
                </c:pt>
                <c:pt idx="3">
                  <c:v>369949</c:v>
                </c:pt>
                <c:pt idx="4">
                  <c:v>484087</c:v>
                </c:pt>
                <c:pt idx="5">
                  <c:v>532498</c:v>
                </c:pt>
                <c:pt idx="6">
                  <c:v>845775</c:v>
                </c:pt>
                <c:pt idx="7">
                  <c:v>891919</c:v>
                </c:pt>
                <c:pt idx="8">
                  <c:v>659151</c:v>
                </c:pt>
                <c:pt idx="9">
                  <c:v>520021</c:v>
                </c:pt>
                <c:pt idx="10">
                  <c:v>341719</c:v>
                </c:pt>
                <c:pt idx="11">
                  <c:v>332116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D58-4355-B865-6B17045F27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339390472"/>
        <c:axId val="2392072"/>
      </c:barChart>
      <c:catAx>
        <c:axId val="1339390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392072"/>
        <c:crosses val="autoZero"/>
        <c:auto val="1"/>
        <c:lblAlgn val="ctr"/>
        <c:lblOffset val="100"/>
        <c:noMultiLvlLbl val="0"/>
      </c:catAx>
      <c:valAx>
        <c:axId val="2392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339390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0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 of RES energy production in the energy mix of Flores Islands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v>Fontes Renovaveis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Flores!$BG$21:$BR$21</c:f>
              <c:numCache>
                <c:formatCode>General</c:formatCode>
                <c:ptCount val="12"/>
                <c:pt idx="0">
                  <c:v>494487</c:v>
                </c:pt>
                <c:pt idx="1">
                  <c:v>365888</c:v>
                </c:pt>
                <c:pt idx="2">
                  <c:v>711262</c:v>
                </c:pt>
                <c:pt idx="3">
                  <c:v>583842</c:v>
                </c:pt>
                <c:pt idx="4">
                  <c:v>523106</c:v>
                </c:pt>
                <c:pt idx="5">
                  <c:v>444609</c:v>
                </c:pt>
                <c:pt idx="6">
                  <c:v>232187</c:v>
                </c:pt>
                <c:pt idx="7">
                  <c:v>232890</c:v>
                </c:pt>
                <c:pt idx="8">
                  <c:v>382105</c:v>
                </c:pt>
                <c:pt idx="9">
                  <c:v>473900</c:v>
                </c:pt>
                <c:pt idx="10">
                  <c:v>633496</c:v>
                </c:pt>
                <c:pt idx="11">
                  <c:v>686382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8A1-4B26-BC07-BBA7E76535B2}"/>
            </c:ext>
          </c:extLst>
        </c:ser>
        <c:ser>
          <c:idx val="1"/>
          <c:order val="1"/>
          <c:tx>
            <c:v>Fontes nao renovaveis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Flores!$BG$22:$BR$22</c:f>
              <c:numCache>
                <c:formatCode>General</c:formatCode>
                <c:ptCount val="12"/>
                <c:pt idx="0">
                  <c:v>515820</c:v>
                </c:pt>
                <c:pt idx="1">
                  <c:v>532717</c:v>
                </c:pt>
                <c:pt idx="2">
                  <c:v>297324</c:v>
                </c:pt>
                <c:pt idx="3">
                  <c:v>369949</c:v>
                </c:pt>
                <c:pt idx="4">
                  <c:v>484087</c:v>
                </c:pt>
                <c:pt idx="5">
                  <c:v>532498</c:v>
                </c:pt>
                <c:pt idx="6">
                  <c:v>845775</c:v>
                </c:pt>
                <c:pt idx="7">
                  <c:v>891919</c:v>
                </c:pt>
                <c:pt idx="8">
                  <c:v>659151</c:v>
                </c:pt>
                <c:pt idx="9">
                  <c:v>520021</c:v>
                </c:pt>
                <c:pt idx="10">
                  <c:v>341719</c:v>
                </c:pt>
                <c:pt idx="11">
                  <c:v>332116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8A1-4B26-BC07-BBA7E76535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339390472"/>
        <c:axId val="2392072"/>
      </c:barChart>
      <c:catAx>
        <c:axId val="1339390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392072"/>
        <c:crosses val="autoZero"/>
        <c:auto val="1"/>
        <c:lblAlgn val="ctr"/>
        <c:lblOffset val="100"/>
        <c:noMultiLvlLbl val="0"/>
      </c:catAx>
      <c:valAx>
        <c:axId val="2392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339390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0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/>
              <a:t>Demand</a:t>
            </a:r>
            <a:r>
              <a:rPr lang="pt-PT" baseline="0"/>
              <a:t> Profile</a:t>
            </a:r>
            <a:endParaRPr lang="pt-PT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Faial!$AB$51:$AB$73</c:f>
              <c:numCache>
                <c:formatCode>General</c:formatCode>
                <c:ptCount val="23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</c:numCache>
            </c:numRef>
          </c:cat>
          <c:val>
            <c:numRef>
              <c:f>Flores!$N$48:$AJ$48</c:f>
              <c:numCache>
                <c:formatCode>General</c:formatCode>
                <c:ptCount val="23"/>
                <c:pt idx="0">
                  <c:v>7282803</c:v>
                </c:pt>
                <c:pt idx="1">
                  <c:v>7256797</c:v>
                </c:pt>
                <c:pt idx="2">
                  <c:v>7914088</c:v>
                </c:pt>
                <c:pt idx="3">
                  <c:v>8223865</c:v>
                </c:pt>
                <c:pt idx="4">
                  <c:v>9048894</c:v>
                </c:pt>
                <c:pt idx="5">
                  <c:v>9539045</c:v>
                </c:pt>
                <c:pt idx="6">
                  <c:v>10220522</c:v>
                </c:pt>
                <c:pt idx="7">
                  <c:v>10689340</c:v>
                </c:pt>
                <c:pt idx="8">
                  <c:v>10910524</c:v>
                </c:pt>
                <c:pt idx="9">
                  <c:v>11328731</c:v>
                </c:pt>
                <c:pt idx="10">
                  <c:v>11610777</c:v>
                </c:pt>
                <c:pt idx="11">
                  <c:v>11292768</c:v>
                </c:pt>
                <c:pt idx="12">
                  <c:v>10485212</c:v>
                </c:pt>
                <c:pt idx="13">
                  <c:v>10157800</c:v>
                </c:pt>
                <c:pt idx="14">
                  <c:v>10028600</c:v>
                </c:pt>
                <c:pt idx="15">
                  <c:v>10376381</c:v>
                </c:pt>
                <c:pt idx="16">
                  <c:v>10676798</c:v>
                </c:pt>
                <c:pt idx="17">
                  <c:v>10824348</c:v>
                </c:pt>
                <c:pt idx="18">
                  <c:v>10863756</c:v>
                </c:pt>
                <c:pt idx="19">
                  <c:v>10558761</c:v>
                </c:pt>
                <c:pt idx="20">
                  <c:v>10241082</c:v>
                </c:pt>
                <c:pt idx="21">
                  <c:v>11105096</c:v>
                </c:pt>
                <c:pt idx="22">
                  <c:v>10956901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4FD-4DD4-A7E9-14A6E29202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54224912"/>
        <c:axId val="1110082928"/>
      </c:lineChart>
      <c:catAx>
        <c:axId val="115422491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10082928"/>
        <c:crosses val="autoZero"/>
        <c:auto val="1"/>
        <c:lblAlgn val="ctr"/>
        <c:lblOffset val="100"/>
        <c:noMultiLvlLbl val="0"/>
      </c:catAx>
      <c:valAx>
        <c:axId val="1110082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Energy</a:t>
                </a:r>
                <a:r>
                  <a:rPr lang="pt-PT" baseline="0"/>
                  <a:t> Consumption</a:t>
                </a:r>
                <a:endParaRPr lang="pt-PT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542249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0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/>
              <a:t>2022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Miguel'!$AI$70:$AI$81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Flores!$BG$44:$BR$44</c:f>
              <c:numCache>
                <c:formatCode>General</c:formatCode>
                <c:ptCount val="12"/>
                <c:pt idx="0">
                  <c:v>867605</c:v>
                </c:pt>
                <c:pt idx="1">
                  <c:v>869598</c:v>
                </c:pt>
                <c:pt idx="2">
                  <c:v>921939</c:v>
                </c:pt>
                <c:pt idx="3">
                  <c:v>855908</c:v>
                </c:pt>
                <c:pt idx="4">
                  <c:v>537249</c:v>
                </c:pt>
                <c:pt idx="5">
                  <c:v>1255785</c:v>
                </c:pt>
                <c:pt idx="6">
                  <c:v>938216</c:v>
                </c:pt>
                <c:pt idx="7">
                  <c:v>978925</c:v>
                </c:pt>
                <c:pt idx="8">
                  <c:v>998679</c:v>
                </c:pt>
                <c:pt idx="9">
                  <c:v>964566</c:v>
                </c:pt>
                <c:pt idx="10">
                  <c:v>896224</c:v>
                </c:pt>
                <c:pt idx="11">
                  <c:v>872207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AE-4F33-B2B2-312AF1E2E1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54306512"/>
        <c:axId val="423044304"/>
      </c:lineChart>
      <c:catAx>
        <c:axId val="115430651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23044304"/>
        <c:crosses val="autoZero"/>
        <c:auto val="1"/>
        <c:lblAlgn val="ctr"/>
        <c:lblOffset val="100"/>
        <c:noMultiLvlLbl val="0"/>
      </c:catAx>
      <c:valAx>
        <c:axId val="423044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Energy Consumption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543065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0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Production of Energy by Renewable Sources vs Demand - March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Flores'!$BO$45:$BX$45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Flores'!$BO$47:$BX$47</c:f>
              <c:numCache>
                <c:formatCode>General</c:formatCode>
                <c:ptCount val="10"/>
                <c:pt idx="0">
                  <c:v>2567.4792295196094</c:v>
                </c:pt>
                <c:pt idx="1">
                  <c:v>2353.5226270596427</c:v>
                </c:pt>
                <c:pt idx="2">
                  <c:v>2353.5226270596427</c:v>
                </c:pt>
                <c:pt idx="3">
                  <c:v>2567.4792295196094</c:v>
                </c:pt>
                <c:pt idx="4">
                  <c:v>3209.3490368995122</c:v>
                </c:pt>
                <c:pt idx="5">
                  <c:v>2995.3924344395446</c:v>
                </c:pt>
                <c:pt idx="6">
                  <c:v>2781.4358319795774</c:v>
                </c:pt>
                <c:pt idx="7">
                  <c:v>2781.4358319795774</c:v>
                </c:pt>
                <c:pt idx="8">
                  <c:v>4279.1320491993492</c:v>
                </c:pt>
                <c:pt idx="9">
                  <c:v>3851.2188442794145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489-469F-92AD-B95873A848AF}"/>
            </c:ext>
          </c:extLst>
        </c:ser>
        <c:ser>
          <c:idx val="1"/>
          <c:order val="1"/>
          <c:tx>
            <c:v>Energy Production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Flores'!$BO$45:$BX$45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Flores'!$BO$55:$BX$55</c:f>
              <c:numCache>
                <c:formatCode>General</c:formatCode>
                <c:ptCount val="10"/>
                <c:pt idx="0">
                  <c:v>3547.7139991504673</c:v>
                </c:pt>
                <c:pt idx="1">
                  <c:v>3627.9780875244505</c:v>
                </c:pt>
                <c:pt idx="2">
                  <c:v>4480.4430161216005</c:v>
                </c:pt>
                <c:pt idx="3">
                  <c:v>3788.6143846010505</c:v>
                </c:pt>
                <c:pt idx="4">
                  <c:v>6344.5470953041513</c:v>
                </c:pt>
                <c:pt idx="5">
                  <c:v>5382.6082298831025</c:v>
                </c:pt>
                <c:pt idx="6">
                  <c:v>5293.2873774572327</c:v>
                </c:pt>
                <c:pt idx="7">
                  <c:v>6432.8946362638289</c:v>
                </c:pt>
                <c:pt idx="8">
                  <c:v>3612.4864785414693</c:v>
                </c:pt>
                <c:pt idx="9">
                  <c:v>4285.6525016042669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489-469F-92AD-B95873A848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7653512"/>
        <c:axId val="1037655560"/>
      </c:lineChart>
      <c:catAx>
        <c:axId val="1037653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37655560"/>
        <c:crosses val="autoZero"/>
        <c:auto val="1"/>
        <c:lblAlgn val="ctr"/>
        <c:lblOffset val="100"/>
        <c:noMultiLvlLbl val="0"/>
      </c:catAx>
      <c:valAx>
        <c:axId val="1037655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37653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0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Flores'!$AO$72:$AX$72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Flores'!$AO$74:$AX$74</c:f>
              <c:numCache>
                <c:formatCode>General</c:formatCode>
                <c:ptCount val="10"/>
                <c:pt idx="0">
                  <c:v>1569.5649421789408</c:v>
                </c:pt>
                <c:pt idx="1">
                  <c:v>1438.7678636640294</c:v>
                </c:pt>
                <c:pt idx="2">
                  <c:v>1438.7678636640294</c:v>
                </c:pt>
                <c:pt idx="3">
                  <c:v>1569.5649421789408</c:v>
                </c:pt>
                <c:pt idx="4">
                  <c:v>1896.5576384662204</c:v>
                </c:pt>
                <c:pt idx="5">
                  <c:v>1831.1590992087642</c:v>
                </c:pt>
                <c:pt idx="6">
                  <c:v>1700.3620206938529</c:v>
                </c:pt>
                <c:pt idx="7">
                  <c:v>1700.3620206938529</c:v>
                </c:pt>
                <c:pt idx="8">
                  <c:v>2223.5503347534996</c:v>
                </c:pt>
                <c:pt idx="9">
                  <c:v>1961.9561777236763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39E-4FE0-B138-187B131ACF1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Flores'!$AO$72:$AX$72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Flores'!$AO$82:$AX$82</c:f>
              <c:numCache>
                <c:formatCode>General</c:formatCode>
                <c:ptCount val="10"/>
                <c:pt idx="0">
                  <c:v>2207.9013303666839</c:v>
                </c:pt>
                <c:pt idx="1">
                  <c:v>2217.4698410867168</c:v>
                </c:pt>
                <c:pt idx="2">
                  <c:v>2486.5810646346272</c:v>
                </c:pt>
                <c:pt idx="3">
                  <c:v>2605.9264537517388</c:v>
                </c:pt>
                <c:pt idx="4">
                  <c:v>4379.5832960665457</c:v>
                </c:pt>
                <c:pt idx="5">
                  <c:v>3664.9877187744669</c:v>
                </c:pt>
                <c:pt idx="6">
                  <c:v>3878.8795564919919</c:v>
                </c:pt>
                <c:pt idx="7">
                  <c:v>4934.5422715846644</c:v>
                </c:pt>
                <c:pt idx="8">
                  <c:v>2757.3487587141108</c:v>
                </c:pt>
                <c:pt idx="9">
                  <c:v>2525.1732569155511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39E-4FE0-B138-187B131ACF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43745311"/>
        <c:axId val="181377440"/>
      </c:lineChart>
      <c:catAx>
        <c:axId val="20437453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1377440"/>
        <c:crosses val="autoZero"/>
        <c:auto val="1"/>
        <c:lblAlgn val="ctr"/>
        <c:lblOffset val="100"/>
        <c:noMultiLvlLbl val="0"/>
      </c:catAx>
      <c:valAx>
        <c:axId val="181377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0437453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0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Flores'!$CB$99:$CK$99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Flores'!$CB$101:$CK$101</c:f>
              <c:numCache>
                <c:formatCode>General</c:formatCode>
                <c:ptCount val="10"/>
                <c:pt idx="0">
                  <c:v>159.77563463030705</c:v>
                </c:pt>
                <c:pt idx="1">
                  <c:v>147.48520119720652</c:v>
                </c:pt>
                <c:pt idx="2">
                  <c:v>147.48520119720652</c:v>
                </c:pt>
                <c:pt idx="3">
                  <c:v>159.77563463030705</c:v>
                </c:pt>
                <c:pt idx="4">
                  <c:v>178.21128477995785</c:v>
                </c:pt>
                <c:pt idx="5">
                  <c:v>178.21128477995785</c:v>
                </c:pt>
                <c:pt idx="6">
                  <c:v>178.21128477995785</c:v>
                </c:pt>
                <c:pt idx="7">
                  <c:v>184.35650149650814</c:v>
                </c:pt>
                <c:pt idx="8">
                  <c:v>233.51823522891027</c:v>
                </c:pt>
                <c:pt idx="9">
                  <c:v>221.22780179580977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AC-4B64-A916-484228A3911E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Flores'!$CB$99:$CK$99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Flores'!$CB$109:$CK$109</c:f>
              <c:numCache>
                <c:formatCode>General</c:formatCode>
                <c:ptCount val="10"/>
                <c:pt idx="0">
                  <c:v>2980.5223204169533</c:v>
                </c:pt>
                <c:pt idx="1">
                  <c:v>3008.8855207907586</c:v>
                </c:pt>
                <c:pt idx="2">
                  <c:v>3546.5120782603262</c:v>
                </c:pt>
                <c:pt idx="3">
                  <c:v>3072.9621262257169</c:v>
                </c:pt>
                <c:pt idx="4">
                  <c:v>4359.3602137405451</c:v>
                </c:pt>
                <c:pt idx="5">
                  <c:v>4160.0698534998437</c:v>
                </c:pt>
                <c:pt idx="6">
                  <c:v>4151.0131776030794</c:v>
                </c:pt>
                <c:pt idx="7">
                  <c:v>4395.4482428862539</c:v>
                </c:pt>
                <c:pt idx="8">
                  <c:v>3111.8378011320874</c:v>
                </c:pt>
                <c:pt idx="9">
                  <c:v>3477.1628589928223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AC-4B64-A916-484228A391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38406704"/>
        <c:axId val="271909088"/>
      </c:lineChart>
      <c:catAx>
        <c:axId val="238406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71909088"/>
        <c:crosses val="autoZero"/>
        <c:auto val="1"/>
        <c:lblAlgn val="ctr"/>
        <c:lblOffset val="100"/>
        <c:noMultiLvlLbl val="0"/>
      </c:catAx>
      <c:valAx>
        <c:axId val="271909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38406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Consumo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Miguel'!$BO$183:$BX$183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Miguel'!$BO$185:$BX$185</c:f>
              <c:numCache>
                <c:formatCode>General</c:formatCode>
                <c:ptCount val="10"/>
                <c:pt idx="0">
                  <c:v>101410.73423851941</c:v>
                </c:pt>
                <c:pt idx="1">
                  <c:v>88734.392458704475</c:v>
                </c:pt>
                <c:pt idx="2">
                  <c:v>84508.945198766174</c:v>
                </c:pt>
                <c:pt idx="3">
                  <c:v>84508.945198766174</c:v>
                </c:pt>
                <c:pt idx="4">
                  <c:v>122537.97053821095</c:v>
                </c:pt>
                <c:pt idx="5">
                  <c:v>147890.6540978408</c:v>
                </c:pt>
                <c:pt idx="6">
                  <c:v>147890.6540978408</c:v>
                </c:pt>
                <c:pt idx="7">
                  <c:v>147890.6540978408</c:v>
                </c:pt>
                <c:pt idx="8">
                  <c:v>126763.41779814925</c:v>
                </c:pt>
                <c:pt idx="9">
                  <c:v>129932.503243103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D6-4E21-AAC5-61ECB2D64F62}"/>
            </c:ext>
          </c:extLst>
        </c:ser>
        <c:ser>
          <c:idx val="1"/>
          <c:order val="1"/>
          <c:tx>
            <c:v>Prod energias renovaveis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Miguel'!$BO$183:$BX$183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Miguel'!$BO$193:$BX$193</c:f>
              <c:numCache>
                <c:formatCode>General</c:formatCode>
                <c:ptCount val="10"/>
                <c:pt idx="0">
                  <c:v>52904.045913626862</c:v>
                </c:pt>
                <c:pt idx="1">
                  <c:v>52929.675615155604</c:v>
                </c:pt>
                <c:pt idx="2">
                  <c:v>54419.737348560957</c:v>
                </c:pt>
                <c:pt idx="3">
                  <c:v>52955.357446658629</c:v>
                </c:pt>
                <c:pt idx="4">
                  <c:v>56309.493552468281</c:v>
                </c:pt>
                <c:pt idx="5">
                  <c:v>55090.009557667327</c:v>
                </c:pt>
                <c:pt idx="6">
                  <c:v>55396.168280224687</c:v>
                </c:pt>
                <c:pt idx="7">
                  <c:v>55082.071423711852</c:v>
                </c:pt>
                <c:pt idx="8">
                  <c:v>53859.693371850706</c:v>
                </c:pt>
                <c:pt idx="9">
                  <c:v>54595.465216098222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FD6-4E21-AAC5-61ECB2D64F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476679"/>
        <c:axId val="56478727"/>
      </c:lineChart>
      <c:catAx>
        <c:axId val="564766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6478727"/>
        <c:crosses val="autoZero"/>
        <c:auto val="1"/>
        <c:lblAlgn val="ctr"/>
        <c:lblOffset val="100"/>
        <c:noMultiLvlLbl val="0"/>
      </c:catAx>
      <c:valAx>
        <c:axId val="56478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64766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Production of Energy by Renewable Sources vs Demand - June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Flores'!$BB$72:$BK$72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Flores'!$BB$74:$BK$74</c:f>
              <c:numCache>
                <c:formatCode>General</c:formatCode>
                <c:ptCount val="10"/>
                <c:pt idx="0">
                  <c:v>4060.9962686567164</c:v>
                </c:pt>
                <c:pt idx="1">
                  <c:v>3436.2276119402986</c:v>
                </c:pt>
                <c:pt idx="2">
                  <c:v>3436.2276119402986</c:v>
                </c:pt>
                <c:pt idx="3">
                  <c:v>3748.6119402985073</c:v>
                </c:pt>
                <c:pt idx="4">
                  <c:v>4685.7649253731342</c:v>
                </c:pt>
                <c:pt idx="5">
                  <c:v>4373.3805970149251</c:v>
                </c:pt>
                <c:pt idx="6">
                  <c:v>4060.9962686567164</c:v>
                </c:pt>
                <c:pt idx="7">
                  <c:v>4060.9962686567164</c:v>
                </c:pt>
                <c:pt idx="8">
                  <c:v>5310.5335820895525</c:v>
                </c:pt>
                <c:pt idx="9">
                  <c:v>4685.7649253731342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45A-4A4F-9882-A1FCE754AEBA}"/>
            </c:ext>
          </c:extLst>
        </c:ser>
        <c:ser>
          <c:idx val="1"/>
          <c:order val="1"/>
          <c:tx>
            <c:v>Energy Production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Flores'!$BB$72:$BK$72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Flores'!$BB$82:$BK$82</c:f>
              <c:numCache>
                <c:formatCode>General</c:formatCode>
                <c:ptCount val="10"/>
                <c:pt idx="0">
                  <c:v>2145.4702682626739</c:v>
                </c:pt>
                <c:pt idx="1">
                  <c:v>2142.6715988907044</c:v>
                </c:pt>
                <c:pt idx="2">
                  <c:v>2570.4865169684927</c:v>
                </c:pt>
                <c:pt idx="3">
                  <c:v>2820.0243311443655</c:v>
                </c:pt>
                <c:pt idx="4">
                  <c:v>5038.2243604736723</c:v>
                </c:pt>
                <c:pt idx="5">
                  <c:v>3589.9254154652544</c:v>
                </c:pt>
                <c:pt idx="6">
                  <c:v>3692.4805216712903</c:v>
                </c:pt>
                <c:pt idx="7">
                  <c:v>4997.1955989156413</c:v>
                </c:pt>
                <c:pt idx="8">
                  <c:v>2872.2041691841505</c:v>
                </c:pt>
                <c:pt idx="9">
                  <c:v>2651.7705523570849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45A-4A4F-9882-A1FCE754AE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22517535"/>
        <c:axId val="1719299263"/>
      </c:lineChart>
      <c:catAx>
        <c:axId val="20225175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719299263"/>
        <c:crosses val="autoZero"/>
        <c:auto val="1"/>
        <c:lblAlgn val="ctr"/>
        <c:lblOffset val="100"/>
        <c:noMultiLvlLbl val="0"/>
      </c:catAx>
      <c:valAx>
        <c:axId val="17192992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0225175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Miguel'!$CB$188:$CK$188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Miguel'!$CB$190:$CK$190</c:f>
              <c:numCache>
                <c:formatCode>General</c:formatCode>
                <c:ptCount val="10"/>
                <c:pt idx="0">
                  <c:v>104572.65336828907</c:v>
                </c:pt>
                <c:pt idx="1">
                  <c:v>91501.071697252934</c:v>
                </c:pt>
                <c:pt idx="2">
                  <c:v>87143.877806907549</c:v>
                </c:pt>
                <c:pt idx="3">
                  <c:v>91501.071697252934</c:v>
                </c:pt>
                <c:pt idx="4">
                  <c:v>126358.62282001595</c:v>
                </c:pt>
                <c:pt idx="5">
                  <c:v>152501.78616208822</c:v>
                </c:pt>
                <c:pt idx="6">
                  <c:v>152501.78616208822</c:v>
                </c:pt>
                <c:pt idx="7">
                  <c:v>152501.78616208822</c:v>
                </c:pt>
                <c:pt idx="8">
                  <c:v>135073.01060070671</c:v>
                </c:pt>
                <c:pt idx="9">
                  <c:v>139430.20449105208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64B-42C9-8A90-4D23C887C0E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Miguel'!$CB$188:$CK$188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Miguel'!$CB$198:$CK$198</c:f>
              <c:numCache>
                <c:formatCode>General</c:formatCode>
                <c:ptCount val="10"/>
                <c:pt idx="0">
                  <c:v>55998.945114762697</c:v>
                </c:pt>
                <c:pt idx="1">
                  <c:v>56006.778096253387</c:v>
                </c:pt>
                <c:pt idx="2">
                  <c:v>56636.596291519571</c:v>
                </c:pt>
                <c:pt idx="3">
                  <c:v>57046.316934800343</c:v>
                </c:pt>
                <c:pt idx="4">
                  <c:v>58153.800673245547</c:v>
                </c:pt>
                <c:pt idx="5">
                  <c:v>57723.327302154787</c:v>
                </c:pt>
                <c:pt idx="6">
                  <c:v>57846.193688549341</c:v>
                </c:pt>
                <c:pt idx="7">
                  <c:v>58709.86321518691</c:v>
                </c:pt>
                <c:pt idx="8">
                  <c:v>56312.247919914371</c:v>
                </c:pt>
                <c:pt idx="9">
                  <c:v>56694.968077177487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64B-42C9-8A90-4D23C887C0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01451784"/>
        <c:axId val="419774983"/>
      </c:lineChart>
      <c:catAx>
        <c:axId val="301451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19774983"/>
        <c:crosses val="autoZero"/>
        <c:auto val="1"/>
        <c:lblAlgn val="ctr"/>
        <c:lblOffset val="100"/>
        <c:noMultiLvlLbl val="0"/>
      </c:catAx>
      <c:valAx>
        <c:axId val="4197749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01451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'São Miguel'!$CO$190</c:f>
              <c:strCache>
                <c:ptCount val="1"/>
                <c:pt idx="0">
                  <c:v>Consumo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Miguel'!$CP$188:$CY$188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Miguel'!$CP$190:$CY$190</c:f>
              <c:numCache>
                <c:formatCode>General</c:formatCode>
                <c:ptCount val="10"/>
                <c:pt idx="0">
                  <c:v>109377.04696569919</c:v>
                </c:pt>
                <c:pt idx="1">
                  <c:v>95704.916094986795</c:v>
                </c:pt>
                <c:pt idx="2">
                  <c:v>95704.916094986795</c:v>
                </c:pt>
                <c:pt idx="3">
                  <c:v>95704.916094986795</c:v>
                </c:pt>
                <c:pt idx="4">
                  <c:v>132163.93175021987</c:v>
                </c:pt>
                <c:pt idx="5">
                  <c:v>159508.19349164466</c:v>
                </c:pt>
                <c:pt idx="6">
                  <c:v>159508.19349164466</c:v>
                </c:pt>
                <c:pt idx="7">
                  <c:v>154950.81653474053</c:v>
                </c:pt>
                <c:pt idx="8">
                  <c:v>159508.19349164466</c:v>
                </c:pt>
                <c:pt idx="9">
                  <c:v>133303.27598944589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0F3-409E-BD67-6637B97E767C}"/>
            </c:ext>
          </c:extLst>
        </c:ser>
        <c:ser>
          <c:idx val="1"/>
          <c:order val="1"/>
          <c:tx>
            <c:strRef>
              <c:f>'São Miguel'!$CO$198</c:f>
              <c:strCache>
                <c:ptCount val="1"/>
                <c:pt idx="0">
                  <c:v>tot Ren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Miguel'!$CP$188:$CY$188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Miguel'!$CP$198:$CY$198</c:f>
              <c:numCache>
                <c:formatCode>General</c:formatCode>
                <c:ptCount val="10"/>
                <c:pt idx="0">
                  <c:v>52076.298104633905</c:v>
                </c:pt>
                <c:pt idx="1">
                  <c:v>52074.512047439122</c:v>
                </c:pt>
                <c:pt idx="2">
                  <c:v>53378.787023149431</c:v>
                </c:pt>
                <c:pt idx="3">
                  <c:v>52341.16164279214</c:v>
                </c:pt>
                <c:pt idx="4">
                  <c:v>55401.200645102159</c:v>
                </c:pt>
                <c:pt idx="5">
                  <c:v>54280.108335984842</c:v>
                </c:pt>
                <c:pt idx="6">
                  <c:v>54419.145018132302</c:v>
                </c:pt>
                <c:pt idx="7">
                  <c:v>55718.132133177525</c:v>
                </c:pt>
                <c:pt idx="8">
                  <c:v>52470.274804530331</c:v>
                </c:pt>
                <c:pt idx="9">
                  <c:v>53324.746911724935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0F3-409E-BD67-6637B97E76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19773959"/>
        <c:axId val="1951739911"/>
      </c:lineChart>
      <c:catAx>
        <c:axId val="4197739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951739911"/>
        <c:crosses val="autoZero"/>
        <c:auto val="1"/>
        <c:lblAlgn val="ctr"/>
        <c:lblOffset val="100"/>
        <c:noMultiLvlLbl val="0"/>
      </c:catAx>
      <c:valAx>
        <c:axId val="1951739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197739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Consumo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Miguel'!$DE$188:$DN$188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Miguel'!$DE$190:$DN$190</c:f>
              <c:numCache>
                <c:formatCode>General</c:formatCode>
                <c:ptCount val="10"/>
                <c:pt idx="0">
                  <c:v>101386.85368967571</c:v>
                </c:pt>
                <c:pt idx="1">
                  <c:v>88713.496978466253</c:v>
                </c:pt>
                <c:pt idx="2">
                  <c:v>88713.496978466253</c:v>
                </c:pt>
                <c:pt idx="3">
                  <c:v>88713.496978466253</c:v>
                </c:pt>
                <c:pt idx="4">
                  <c:v>122509.11487502481</c:v>
                </c:pt>
                <c:pt idx="5">
                  <c:v>147855.82829744375</c:v>
                </c:pt>
                <c:pt idx="6">
                  <c:v>147855.82829744375</c:v>
                </c:pt>
                <c:pt idx="7">
                  <c:v>143631.37606037391</c:v>
                </c:pt>
                <c:pt idx="8">
                  <c:v>147855.82829744375</c:v>
                </c:pt>
                <c:pt idx="9">
                  <c:v>123565.22793429227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D90-41EA-914E-EB3D1FC2CF9A}"/>
            </c:ext>
          </c:extLst>
        </c:ser>
        <c:ser>
          <c:idx val="1"/>
          <c:order val="1"/>
          <c:tx>
            <c:v>Prod energia Renovavel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Miguel'!$DE$188:$DN$188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Miguel'!$DE$198:$DN$198</c:f>
              <c:numCache>
                <c:formatCode>General</c:formatCode>
                <c:ptCount val="10"/>
                <c:pt idx="0">
                  <c:v>53791.68269819305</c:v>
                </c:pt>
                <c:pt idx="1">
                  <c:v>53584.487945999492</c:v>
                </c:pt>
                <c:pt idx="2">
                  <c:v>55991.892109914232</c:v>
                </c:pt>
                <c:pt idx="3">
                  <c:v>54060.542677302081</c:v>
                </c:pt>
                <c:pt idx="4">
                  <c:v>57701.214956519703</c:v>
                </c:pt>
                <c:pt idx="5">
                  <c:v>56452.267744788733</c:v>
                </c:pt>
                <c:pt idx="6">
                  <c:v>57004.360110541704</c:v>
                </c:pt>
                <c:pt idx="7">
                  <c:v>58467.375515884203</c:v>
                </c:pt>
                <c:pt idx="8">
                  <c:v>53824.060071648593</c:v>
                </c:pt>
                <c:pt idx="9">
                  <c:v>55956.664556305012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D90-41EA-914E-EB3D1FC2CF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19758599"/>
        <c:axId val="419760647"/>
      </c:lineChart>
      <c:catAx>
        <c:axId val="4197585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19760647"/>
        <c:crosses val="autoZero"/>
        <c:auto val="1"/>
        <c:lblAlgn val="ctr"/>
        <c:lblOffset val="100"/>
        <c:noMultiLvlLbl val="0"/>
      </c:catAx>
      <c:valAx>
        <c:axId val="4197606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197585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Miguel'!$BO$225:$BX$225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Miguel'!$BO$227:$BX$227</c:f>
              <c:numCache>
                <c:formatCode>General</c:formatCode>
                <c:ptCount val="10"/>
                <c:pt idx="0">
                  <c:v>87820.719314938149</c:v>
                </c:pt>
                <c:pt idx="1">
                  <c:v>83429.683349191255</c:v>
                </c:pt>
                <c:pt idx="2">
                  <c:v>76843.129400570877</c:v>
                </c:pt>
                <c:pt idx="3">
                  <c:v>87820.719314938149</c:v>
                </c:pt>
                <c:pt idx="4">
                  <c:v>127340.04300666031</c:v>
                </c:pt>
                <c:pt idx="5">
                  <c:v>136122.11493815412</c:v>
                </c:pt>
                <c:pt idx="6">
                  <c:v>131731.07897240724</c:v>
                </c:pt>
                <c:pt idx="7">
                  <c:v>136122.11493815412</c:v>
                </c:pt>
                <c:pt idx="8">
                  <c:v>149295.22283539487</c:v>
                </c:pt>
                <c:pt idx="9">
                  <c:v>137219.87392959086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8F9-4043-B3F9-673C68212E8C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Miguel'!$BO$225:$BX$225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Miguel'!$BO$235:$BX$235</c:f>
              <c:numCache>
                <c:formatCode>General</c:formatCode>
                <c:ptCount val="10"/>
                <c:pt idx="0">
                  <c:v>51823.7560907195</c:v>
                </c:pt>
                <c:pt idx="1">
                  <c:v>51724.842521697785</c:v>
                </c:pt>
                <c:pt idx="2">
                  <c:v>53564.439458332228</c:v>
                </c:pt>
                <c:pt idx="3">
                  <c:v>51858.140259802574</c:v>
                </c:pt>
                <c:pt idx="4">
                  <c:v>54862.235011106837</c:v>
                </c:pt>
                <c:pt idx="5">
                  <c:v>53703.500753514832</c:v>
                </c:pt>
                <c:pt idx="6">
                  <c:v>54047.706036711243</c:v>
                </c:pt>
                <c:pt idx="7">
                  <c:v>55620.777677388076</c:v>
                </c:pt>
                <c:pt idx="8">
                  <c:v>51724.774440282956</c:v>
                </c:pt>
                <c:pt idx="9">
                  <c:v>53323.961083777271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8F9-4043-B3F9-673C68212E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55617288"/>
        <c:axId val="355654664"/>
      </c:lineChart>
      <c:catAx>
        <c:axId val="355617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55654664"/>
        <c:crosses val="autoZero"/>
        <c:auto val="1"/>
        <c:lblAlgn val="ctr"/>
        <c:lblOffset val="100"/>
        <c:noMultiLvlLbl val="0"/>
      </c:catAx>
      <c:valAx>
        <c:axId val="355654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556172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Miguel'!$CC$224:$CL$224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Miguel'!$CC$226:$CL$226</c:f>
              <c:numCache>
                <c:formatCode>General</c:formatCode>
                <c:ptCount val="10"/>
                <c:pt idx="0">
                  <c:v>90187.606227158933</c:v>
                </c:pt>
                <c:pt idx="1">
                  <c:v>78914.155448764068</c:v>
                </c:pt>
                <c:pt idx="2">
                  <c:v>65761.796207303385</c:v>
                </c:pt>
                <c:pt idx="3">
                  <c:v>75156.338522632446</c:v>
                </c:pt>
                <c:pt idx="4">
                  <c:v>108976.69085781704</c:v>
                </c:pt>
                <c:pt idx="5">
                  <c:v>122129.05009927772</c:v>
                </c:pt>
                <c:pt idx="6">
                  <c:v>122129.05009927772</c:v>
                </c:pt>
                <c:pt idx="7">
                  <c:v>131523.59241460677</c:v>
                </c:pt>
                <c:pt idx="8">
                  <c:v>140918.13472993585</c:v>
                </c:pt>
                <c:pt idx="9">
                  <c:v>117431.7789416132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5A7-404D-9F27-4E847A36B780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Miguel'!$CC$224:$CL$224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Miguel'!$CC$234:$CL$234</c:f>
              <c:numCache>
                <c:formatCode>General</c:formatCode>
                <c:ptCount val="10"/>
                <c:pt idx="0">
                  <c:v>52438.215087646851</c:v>
                </c:pt>
                <c:pt idx="1">
                  <c:v>52937.605811061978</c:v>
                </c:pt>
                <c:pt idx="2">
                  <c:v>55336.814687914273</c:v>
                </c:pt>
                <c:pt idx="3">
                  <c:v>52071.62280942787</c:v>
                </c:pt>
                <c:pt idx="4">
                  <c:v>55185.899962275013</c:v>
                </c:pt>
                <c:pt idx="5">
                  <c:v>53414.67224960227</c:v>
                </c:pt>
                <c:pt idx="6">
                  <c:v>53491.77451916242</c:v>
                </c:pt>
                <c:pt idx="7">
                  <c:v>55659.150592563557</c:v>
                </c:pt>
                <c:pt idx="8">
                  <c:v>52165.626990009318</c:v>
                </c:pt>
                <c:pt idx="9">
                  <c:v>55061.133419368707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5A7-404D-9F27-4E847A36B7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8208648"/>
        <c:axId val="748210696"/>
      </c:lineChart>
      <c:catAx>
        <c:axId val="748208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48210696"/>
        <c:crosses val="autoZero"/>
        <c:auto val="1"/>
        <c:lblAlgn val="ctr"/>
        <c:lblOffset val="100"/>
        <c:noMultiLvlLbl val="0"/>
      </c:catAx>
      <c:valAx>
        <c:axId val="748210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482086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Consumo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'São Miguel'!$BO$139:$BX$139</c:f>
              <c:numCache>
                <c:formatCode>General</c:formatCode>
                <c:ptCount val="10"/>
                <c:pt idx="0">
                  <c:v>88876.561647700553</c:v>
                </c:pt>
                <c:pt idx="1">
                  <c:v>77766.991441737991</c:v>
                </c:pt>
                <c:pt idx="2">
                  <c:v>77766.991441737991</c:v>
                </c:pt>
                <c:pt idx="3">
                  <c:v>94431.346750681842</c:v>
                </c:pt>
                <c:pt idx="4">
                  <c:v>133314.84247155083</c:v>
                </c:pt>
                <c:pt idx="5">
                  <c:v>128871.01438916581</c:v>
                </c:pt>
                <c:pt idx="6">
                  <c:v>133314.84247155083</c:v>
                </c:pt>
                <c:pt idx="7">
                  <c:v>128871.01438916581</c:v>
                </c:pt>
                <c:pt idx="8">
                  <c:v>155533.98288347598</c:v>
                </c:pt>
                <c:pt idx="9">
                  <c:v>124427.18630678077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A54-4555-AB55-1B427484CE62}"/>
            </c:ext>
          </c:extLst>
        </c:ser>
        <c:ser>
          <c:idx val="1"/>
          <c:order val="1"/>
          <c:tx>
            <c:v>Eólica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'São Miguel'!$BO$141:$BX$141</c:f>
              <c:numCache>
                <c:formatCode>General</c:formatCode>
                <c:ptCount val="10"/>
                <c:pt idx="0">
                  <c:v>4025.6379172703346</c:v>
                </c:pt>
                <c:pt idx="1">
                  <c:v>4120.5919828641163</c:v>
                </c:pt>
                <c:pt idx="2">
                  <c:v>5846.2373279948979</c:v>
                </c:pt>
                <c:pt idx="3">
                  <c:v>4319.7989171308755</c:v>
                </c:pt>
                <c:pt idx="4">
                  <c:v>7372.5694667594062</c:v>
                </c:pt>
                <c:pt idx="5">
                  <c:v>5864.8880689676307</c:v>
                </c:pt>
                <c:pt idx="6">
                  <c:v>6266.0118761759395</c:v>
                </c:pt>
                <c:pt idx="7">
                  <c:v>8797.6243553627064</c:v>
                </c:pt>
                <c:pt idx="8">
                  <c:v>4652.9086185383212</c:v>
                </c:pt>
                <c:pt idx="9">
                  <c:v>6745.9895334519006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A54-4555-AB55-1B427484CE62}"/>
            </c:ext>
          </c:extLst>
        </c:ser>
        <c:ser>
          <c:idx val="2"/>
          <c:order val="2"/>
          <c:tx>
            <c:v>Solar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'São Miguel'!$BO$143:$BX$143</c:f>
              <c:numCache>
                <c:formatCode>General</c:formatCode>
                <c:ptCount val="10"/>
                <c:pt idx="0">
                  <c:v>0.10533689210254342</c:v>
                </c:pt>
                <c:pt idx="1">
                  <c:v>6.6025384763576597E-2</c:v>
                </c:pt>
                <c:pt idx="2">
                  <c:v>0.20131674464871063</c:v>
                </c:pt>
                <c:pt idx="3">
                  <c:v>8.6257457256193035</c:v>
                </c:pt>
                <c:pt idx="4">
                  <c:v>201.13909632306786</c:v>
                </c:pt>
                <c:pt idx="5">
                  <c:v>270.49995206817073</c:v>
                </c:pt>
                <c:pt idx="6">
                  <c:v>290.54697751178549</c:v>
                </c:pt>
                <c:pt idx="7">
                  <c:v>208.61178067306307</c:v>
                </c:pt>
                <c:pt idx="8">
                  <c:v>6.3567491111811245</c:v>
                </c:pt>
                <c:pt idx="9">
                  <c:v>0.13734214624279795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A54-4555-AB55-1B427484CE62}"/>
            </c:ext>
          </c:extLst>
        </c:ser>
        <c:ser>
          <c:idx val="3"/>
          <c:order val="3"/>
          <c:tx>
            <c:v>Hidro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'São Miguel'!$BO$144:$BX$144</c:f>
              <c:numCache>
                <c:formatCode>General</c:formatCode>
                <c:ptCount val="10"/>
                <c:pt idx="0">
                  <c:v>8176.4290322580655</c:v>
                </c:pt>
                <c:pt idx="1">
                  <c:v>8176.4290322580655</c:v>
                </c:pt>
                <c:pt idx="2">
                  <c:v>8176.4290322580655</c:v>
                </c:pt>
                <c:pt idx="3">
                  <c:v>8176.4290322580655</c:v>
                </c:pt>
                <c:pt idx="4">
                  <c:v>8176.4290322580655</c:v>
                </c:pt>
                <c:pt idx="5">
                  <c:v>8176.4290322580655</c:v>
                </c:pt>
                <c:pt idx="6">
                  <c:v>8176.4290322580655</c:v>
                </c:pt>
                <c:pt idx="7">
                  <c:v>8176.4290322580655</c:v>
                </c:pt>
                <c:pt idx="8">
                  <c:v>8176.4290322580655</c:v>
                </c:pt>
                <c:pt idx="9">
                  <c:v>8176.4290322580655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8A54-4555-AB55-1B427484CE62}"/>
            </c:ext>
          </c:extLst>
        </c:ser>
        <c:ser>
          <c:idx val="4"/>
          <c:order val="4"/>
          <c:tx>
            <c:v>Geotérmica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val>
            <c:numRef>
              <c:f>'São Miguel'!$BO$145:$BX$145</c:f>
              <c:numCache>
                <c:formatCode>General</c:formatCode>
                <c:ptCount val="10"/>
                <c:pt idx="0">
                  <c:v>49309.025806451609</c:v>
                </c:pt>
                <c:pt idx="1">
                  <c:v>49309.025806451609</c:v>
                </c:pt>
                <c:pt idx="2">
                  <c:v>49309.025806451609</c:v>
                </c:pt>
                <c:pt idx="3">
                  <c:v>49309.025806451609</c:v>
                </c:pt>
                <c:pt idx="4">
                  <c:v>49309.025806451609</c:v>
                </c:pt>
                <c:pt idx="5">
                  <c:v>49309.025806451609</c:v>
                </c:pt>
                <c:pt idx="6">
                  <c:v>49309.025806451609</c:v>
                </c:pt>
                <c:pt idx="7">
                  <c:v>49309.025806451609</c:v>
                </c:pt>
                <c:pt idx="8">
                  <c:v>49309.025806451609</c:v>
                </c:pt>
                <c:pt idx="9">
                  <c:v>49309.025806451609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8A54-4555-AB55-1B427484CE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4857991"/>
        <c:axId val="874883591"/>
      </c:lineChart>
      <c:catAx>
        <c:axId val="874857991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874883591"/>
        <c:crosses val="autoZero"/>
        <c:auto val="1"/>
        <c:lblAlgn val="ctr"/>
        <c:lblOffset val="100"/>
        <c:noMultiLvlLbl val="0"/>
      </c:catAx>
      <c:valAx>
        <c:axId val="874883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8748579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of energy by Renewable Sources vs Demand  - May</a:t>
            </a:r>
          </a:p>
        </c:rich>
      </c:tx>
      <c:layout>
        <c:manualLayout>
          <c:xMode val="edge"/>
          <c:yMode val="edge"/>
          <c:x val="0.19405571282441658"/>
          <c:y val="3.03608146878660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Miguel'!$CR$130:$DA$130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Miguel'!$CR$132:$DA$132</c:f>
              <c:numCache>
                <c:formatCode>General</c:formatCode>
                <c:ptCount val="10"/>
                <c:pt idx="0">
                  <c:v>43202.349942995104</c:v>
                </c:pt>
                <c:pt idx="1">
                  <c:v>37802.056200120714</c:v>
                </c:pt>
                <c:pt idx="2">
                  <c:v>37802.056200120714</c:v>
                </c:pt>
                <c:pt idx="3">
                  <c:v>41042.232445845351</c:v>
                </c:pt>
                <c:pt idx="4">
                  <c:v>56163.054925893637</c:v>
                </c:pt>
                <c:pt idx="5">
                  <c:v>64803.524914492657</c:v>
                </c:pt>
                <c:pt idx="6">
                  <c:v>64803.524914492657</c:v>
                </c:pt>
                <c:pt idx="7">
                  <c:v>58323.17242304339</c:v>
                </c:pt>
                <c:pt idx="8">
                  <c:v>56163.054925893637</c:v>
                </c:pt>
                <c:pt idx="9">
                  <c:v>59403.231171618274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00F-4E4D-BEE6-767440B08771}"/>
            </c:ext>
          </c:extLst>
        </c:ser>
        <c:ser>
          <c:idx val="1"/>
          <c:order val="1"/>
          <c:tx>
            <c:v>Energy Production by Renewable Energy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Miguel'!$CR$130:$DA$130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Miguel'!$CR$140:$DA$140</c:f>
              <c:numCache>
                <c:formatCode>General</c:formatCode>
                <c:ptCount val="10"/>
                <c:pt idx="0">
                  <c:v>57647.677661881862</c:v>
                </c:pt>
                <c:pt idx="1">
                  <c:v>57341.192954694641</c:v>
                </c:pt>
                <c:pt idx="2">
                  <c:v>58977.712842363784</c:v>
                </c:pt>
                <c:pt idx="3">
                  <c:v>57124.771273332735</c:v>
                </c:pt>
                <c:pt idx="4">
                  <c:v>61815.189362901227</c:v>
                </c:pt>
                <c:pt idx="5">
                  <c:v>60119.785924820259</c:v>
                </c:pt>
                <c:pt idx="6">
                  <c:v>60427.760383898138</c:v>
                </c:pt>
                <c:pt idx="7">
                  <c:v>63423.033540601391</c:v>
                </c:pt>
                <c:pt idx="8">
                  <c:v>58882.830403051841</c:v>
                </c:pt>
                <c:pt idx="9">
                  <c:v>60527.981136325106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0F-4E4D-BEE6-767440B087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55016712"/>
        <c:axId val="30747655"/>
      </c:lineChart>
      <c:catAx>
        <c:axId val="17550167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0747655"/>
        <c:crosses val="autoZero"/>
        <c:auto val="1"/>
        <c:lblAlgn val="ctr"/>
        <c:lblOffset val="100"/>
        <c:noMultiLvlLbl val="0"/>
      </c:catAx>
      <c:valAx>
        <c:axId val="307476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7550167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 sz="1400"/>
              <a:t>Energy Production Mix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42C-46E4-ACF6-D569223683A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42C-46E4-ACF6-D569223683A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42C-46E4-ACF6-D569223683A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42C-46E4-ACF6-D569223683A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442C-46E4-ACF6-D569223683A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442C-46E4-ACF6-D569223683A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PT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'São Miguel'!$AM$23:$AM$28</c:f>
              <c:strCache>
                <c:ptCount val="6"/>
                <c:pt idx="0">
                  <c:v>Wind</c:v>
                </c:pt>
                <c:pt idx="1">
                  <c:v>Diesel</c:v>
                </c:pt>
                <c:pt idx="2">
                  <c:v>Solar</c:v>
                </c:pt>
                <c:pt idx="3">
                  <c:v>Biogas</c:v>
                </c:pt>
                <c:pt idx="4">
                  <c:v>Geothermal</c:v>
                </c:pt>
                <c:pt idx="5">
                  <c:v>Hydro</c:v>
                </c:pt>
              </c:strCache>
            </c:strRef>
          </c:cat>
          <c:val>
            <c:numRef>
              <c:f>'São Miguel'!$AN$23:$AN$28</c:f>
              <c:numCache>
                <c:formatCode>General</c:formatCode>
                <c:ptCount val="6"/>
                <c:pt idx="0">
                  <c:v>16636770</c:v>
                </c:pt>
                <c:pt idx="1">
                  <c:v>170338433</c:v>
                </c:pt>
                <c:pt idx="2">
                  <c:v>419364</c:v>
                </c:pt>
                <c:pt idx="3">
                  <c:v>683247</c:v>
                </c:pt>
                <c:pt idx="4">
                  <c:v>153396385</c:v>
                </c:pt>
                <c:pt idx="5">
                  <c:v>27587900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442C-46E4-ACF6-D569223683AC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Renewables in Energy Production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v>Renewable Sources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'São Miguel'!$AX$3:$BI$3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'São Miguel'!$AX$21:$BI$21</c:f>
              <c:numCache>
                <c:formatCode>General</c:formatCode>
                <c:ptCount val="12"/>
                <c:pt idx="0">
                  <c:v>8671910</c:v>
                </c:pt>
                <c:pt idx="1">
                  <c:v>16710946</c:v>
                </c:pt>
                <c:pt idx="2">
                  <c:v>19702134</c:v>
                </c:pt>
                <c:pt idx="3">
                  <c:v>19185884</c:v>
                </c:pt>
                <c:pt idx="4">
                  <c:v>17557252</c:v>
                </c:pt>
                <c:pt idx="5">
                  <c:v>15986398</c:v>
                </c:pt>
                <c:pt idx="6">
                  <c:v>16963695</c:v>
                </c:pt>
                <c:pt idx="7">
                  <c:v>17697885</c:v>
                </c:pt>
                <c:pt idx="8">
                  <c:v>16093436</c:v>
                </c:pt>
                <c:pt idx="9">
                  <c:v>17330720</c:v>
                </c:pt>
                <c:pt idx="10">
                  <c:v>16071911</c:v>
                </c:pt>
                <c:pt idx="11">
                  <c:v>16751495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D5C-43F1-B0F9-91CEBB6F817D}"/>
            </c:ext>
          </c:extLst>
        </c:ser>
        <c:ser>
          <c:idx val="1"/>
          <c:order val="1"/>
          <c:tx>
            <c:v>Fossil Fuels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'São Miguel'!$AX$3:$BI$3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'São Miguel'!$AX$23:$BI$23</c:f>
              <c:numCache>
                <c:formatCode>General</c:formatCode>
                <c:ptCount val="12"/>
                <c:pt idx="0">
                  <c:v>29657793</c:v>
                </c:pt>
                <c:pt idx="1">
                  <c:v>17757235</c:v>
                </c:pt>
                <c:pt idx="2">
                  <c:v>18190581</c:v>
                </c:pt>
                <c:pt idx="3">
                  <c:v>16843018</c:v>
                </c:pt>
                <c:pt idx="4">
                  <c:v>19970635</c:v>
                </c:pt>
                <c:pt idx="5">
                  <c:v>21201784</c:v>
                </c:pt>
                <c:pt idx="6">
                  <c:v>23428539</c:v>
                </c:pt>
                <c:pt idx="7">
                  <c:v>23829423</c:v>
                </c:pt>
                <c:pt idx="8">
                  <c:v>24724227</c:v>
                </c:pt>
                <c:pt idx="9">
                  <c:v>21525876</c:v>
                </c:pt>
                <c:pt idx="10">
                  <c:v>21502666</c:v>
                </c:pt>
                <c:pt idx="11">
                  <c:v>22446695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D5C-43F1-B0F9-91CEBB6F81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9986568"/>
        <c:axId val="9994760"/>
      </c:barChart>
      <c:catAx>
        <c:axId val="9986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994760"/>
        <c:crosses val="autoZero"/>
        <c:auto val="1"/>
        <c:lblAlgn val="ctr"/>
        <c:lblOffset val="100"/>
        <c:noMultiLvlLbl val="0"/>
      </c:catAx>
      <c:valAx>
        <c:axId val="9994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986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9084470691163609"/>
          <c:y val="0.89062445319335082"/>
          <c:w val="0.46807895888014001"/>
          <c:h val="7.81255468066491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of energy by Renewable Sources vs Demand - July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Miguel'!$BO$183:$BX$183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Miguel'!$BO$185:$BX$185</c:f>
              <c:numCache>
                <c:formatCode>General</c:formatCode>
                <c:ptCount val="10"/>
                <c:pt idx="0">
                  <c:v>101410.73423851941</c:v>
                </c:pt>
                <c:pt idx="1">
                  <c:v>88734.392458704475</c:v>
                </c:pt>
                <c:pt idx="2">
                  <c:v>84508.945198766174</c:v>
                </c:pt>
                <c:pt idx="3">
                  <c:v>84508.945198766174</c:v>
                </c:pt>
                <c:pt idx="4">
                  <c:v>122537.97053821095</c:v>
                </c:pt>
                <c:pt idx="5">
                  <c:v>147890.6540978408</c:v>
                </c:pt>
                <c:pt idx="6">
                  <c:v>147890.6540978408</c:v>
                </c:pt>
                <c:pt idx="7">
                  <c:v>147890.6540978408</c:v>
                </c:pt>
                <c:pt idx="8">
                  <c:v>126763.41779814925</c:v>
                </c:pt>
                <c:pt idx="9">
                  <c:v>129932.503243103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45D-4693-B4AA-554AFC129EF9}"/>
            </c:ext>
          </c:extLst>
        </c:ser>
        <c:ser>
          <c:idx val="1"/>
          <c:order val="1"/>
          <c:tx>
            <c:v>Energy production by Renewable Energy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Miguel'!$BO$183:$BX$183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Miguel'!$BO$193:$BX$193</c:f>
              <c:numCache>
                <c:formatCode>General</c:formatCode>
                <c:ptCount val="10"/>
                <c:pt idx="0">
                  <c:v>52904.045913626862</c:v>
                </c:pt>
                <c:pt idx="1">
                  <c:v>52929.675615155604</c:v>
                </c:pt>
                <c:pt idx="2">
                  <c:v>54419.737348560957</c:v>
                </c:pt>
                <c:pt idx="3">
                  <c:v>52955.357446658629</c:v>
                </c:pt>
                <c:pt idx="4">
                  <c:v>56309.493552468281</c:v>
                </c:pt>
                <c:pt idx="5">
                  <c:v>55090.009557667327</c:v>
                </c:pt>
                <c:pt idx="6">
                  <c:v>55396.168280224687</c:v>
                </c:pt>
                <c:pt idx="7">
                  <c:v>55082.071423711852</c:v>
                </c:pt>
                <c:pt idx="8">
                  <c:v>53859.693371850706</c:v>
                </c:pt>
                <c:pt idx="9">
                  <c:v>54595.465216098222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45D-4693-B4AA-554AFC129E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476679"/>
        <c:axId val="56478727"/>
      </c:lineChart>
      <c:catAx>
        <c:axId val="564766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6478727"/>
        <c:crosses val="autoZero"/>
        <c:auto val="1"/>
        <c:lblAlgn val="ctr"/>
        <c:lblOffset val="100"/>
        <c:noMultiLvlLbl val="0"/>
      </c:catAx>
      <c:valAx>
        <c:axId val="56478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[kWh]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64766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of energy by Renewable Sources vs Demand - April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Miguel'!$CC$130:$CL$130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Miguel'!$CC$132:$CL$132</c:f>
              <c:numCache>
                <c:formatCode>General</c:formatCode>
                <c:ptCount val="10"/>
                <c:pt idx="0">
                  <c:v>90626.133868808567</c:v>
                </c:pt>
                <c:pt idx="1">
                  <c:v>79297.867135207503</c:v>
                </c:pt>
                <c:pt idx="2">
                  <c:v>79297.867135207503</c:v>
                </c:pt>
                <c:pt idx="3">
                  <c:v>90626.133868808567</c:v>
                </c:pt>
                <c:pt idx="4">
                  <c:v>131407.89410977243</c:v>
                </c:pt>
                <c:pt idx="5">
                  <c:v>135939.20080321285</c:v>
                </c:pt>
                <c:pt idx="6">
                  <c:v>140470.50749665327</c:v>
                </c:pt>
                <c:pt idx="7">
                  <c:v>131407.89410977243</c:v>
                </c:pt>
                <c:pt idx="8">
                  <c:v>124610.93406961179</c:v>
                </c:pt>
                <c:pt idx="9">
                  <c:v>124610.93406961179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15-4BA2-BFFA-196C33649CBF}"/>
            </c:ext>
          </c:extLst>
        </c:ser>
        <c:ser>
          <c:idx val="1"/>
          <c:order val="1"/>
          <c:tx>
            <c:v>Energy Production by Renewable energy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Miguel'!$CC$130:$CL$130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Miguel'!$CC$140:$CL$140</c:f>
              <c:numCache>
                <c:formatCode>General</c:formatCode>
                <c:ptCount val="10"/>
                <c:pt idx="0">
                  <c:v>65533.812020529578</c:v>
                </c:pt>
                <c:pt idx="1">
                  <c:v>65708.644638761296</c:v>
                </c:pt>
                <c:pt idx="2">
                  <c:v>69757.511783797599</c:v>
                </c:pt>
                <c:pt idx="3">
                  <c:v>66094.550636243162</c:v>
                </c:pt>
                <c:pt idx="4">
                  <c:v>73019.191171639337</c:v>
                </c:pt>
                <c:pt idx="5">
                  <c:v>69814.478022374824</c:v>
                </c:pt>
                <c:pt idx="6">
                  <c:v>69964.954154654712</c:v>
                </c:pt>
                <c:pt idx="7">
                  <c:v>74277.791519725215</c:v>
                </c:pt>
                <c:pt idx="8">
                  <c:v>66550.605257246032</c:v>
                </c:pt>
                <c:pt idx="9">
                  <c:v>70056.194128361545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15-4BA2-BFFA-196C33649C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27763463"/>
        <c:axId val="327765511"/>
      </c:lineChart>
      <c:catAx>
        <c:axId val="3277634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27765511"/>
        <c:crosses val="autoZero"/>
        <c:auto val="1"/>
        <c:lblAlgn val="ctr"/>
        <c:lblOffset val="100"/>
        <c:noMultiLvlLbl val="0"/>
      </c:catAx>
      <c:valAx>
        <c:axId val="3277655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[kWh]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277634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/>
              <a:t>Demand Profile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'São Miguel'!$AP$36:$AP$58</c:f>
              <c:numCache>
                <c:formatCode>General</c:formatCode>
                <c:ptCount val="23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</c:numCache>
            </c:numRef>
          </c:cat>
          <c:val>
            <c:numRef>
              <c:f>'São Miguel'!$AQ$36:$AQ$58</c:f>
              <c:numCache>
                <c:formatCode>0.00E+00</c:formatCode>
                <c:ptCount val="23"/>
                <c:pt idx="0">
                  <c:v>249798976</c:v>
                </c:pt>
                <c:pt idx="1">
                  <c:v>270753733</c:v>
                </c:pt>
                <c:pt idx="2">
                  <c:v>296298353</c:v>
                </c:pt>
                <c:pt idx="3">
                  <c:v>315919591</c:v>
                </c:pt>
                <c:pt idx="4">
                  <c:v>349201821</c:v>
                </c:pt>
                <c:pt idx="5">
                  <c:v>361817983</c:v>
                </c:pt>
                <c:pt idx="6">
                  <c:v>378447663</c:v>
                </c:pt>
                <c:pt idx="7">
                  <c:v>394371527</c:v>
                </c:pt>
                <c:pt idx="8">
                  <c:v>407488676</c:v>
                </c:pt>
                <c:pt idx="9">
                  <c:v>406974192</c:v>
                </c:pt>
                <c:pt idx="10">
                  <c:v>417516256</c:v>
                </c:pt>
                <c:pt idx="11">
                  <c:v>413689459</c:v>
                </c:pt>
                <c:pt idx="12">
                  <c:v>386340277</c:v>
                </c:pt>
                <c:pt idx="13">
                  <c:v>379257027</c:v>
                </c:pt>
                <c:pt idx="14">
                  <c:v>383814107</c:v>
                </c:pt>
                <c:pt idx="15">
                  <c:v>390462185</c:v>
                </c:pt>
                <c:pt idx="16">
                  <c:v>399948778</c:v>
                </c:pt>
                <c:pt idx="17">
                  <c:v>402924026</c:v>
                </c:pt>
                <c:pt idx="18">
                  <c:v>411119229</c:v>
                </c:pt>
                <c:pt idx="19">
                  <c:v>414227815</c:v>
                </c:pt>
                <c:pt idx="20">
                  <c:v>396302324</c:v>
                </c:pt>
                <c:pt idx="21">
                  <c:v>419777352</c:v>
                </c:pt>
                <c:pt idx="22" formatCode="General">
                  <c:v>424446969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32F-4602-975B-ECD340894D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22348304"/>
        <c:axId val="565575008"/>
      </c:lineChart>
      <c:catAx>
        <c:axId val="102234830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65575008"/>
        <c:crosses val="autoZero"/>
        <c:auto val="1"/>
        <c:lblAlgn val="ctr"/>
        <c:lblOffset val="100"/>
        <c:noMultiLvlLbl val="0"/>
      </c:catAx>
      <c:valAx>
        <c:axId val="565575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Energy Consumption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0.00E+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223483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/>
              <a:t>2022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Miguel'!$AI$70:$AI$81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'São Miguel'!$AJ$70:$AJ$81</c:f>
              <c:numCache>
                <c:formatCode>General</c:formatCode>
                <c:ptCount val="12"/>
                <c:pt idx="0">
                  <c:v>34328910</c:v>
                </c:pt>
                <c:pt idx="1">
                  <c:v>32859333</c:v>
                </c:pt>
                <c:pt idx="2">
                  <c:v>35438418</c:v>
                </c:pt>
                <c:pt idx="3">
                  <c:v>33848861</c:v>
                </c:pt>
                <c:pt idx="4">
                  <c:v>16104756</c:v>
                </c:pt>
                <c:pt idx="5">
                  <c:v>53649730</c:v>
                </c:pt>
                <c:pt idx="6">
                  <c:v>36644135</c:v>
                </c:pt>
                <c:pt idx="7">
                  <c:v>38225662</c:v>
                </c:pt>
                <c:pt idx="8">
                  <c:v>38863032</c:v>
                </c:pt>
                <c:pt idx="9">
                  <c:v>37224817</c:v>
                </c:pt>
                <c:pt idx="10">
                  <c:v>34612341</c:v>
                </c:pt>
                <c:pt idx="11">
                  <c:v>32646974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B40-4E49-9F9D-C199D0212D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54306512"/>
        <c:axId val="423044304"/>
      </c:lineChart>
      <c:catAx>
        <c:axId val="115430651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23044304"/>
        <c:crosses val="autoZero"/>
        <c:auto val="1"/>
        <c:lblAlgn val="ctr"/>
        <c:lblOffset val="100"/>
        <c:noMultiLvlLbl val="0"/>
      </c:catAx>
      <c:valAx>
        <c:axId val="423044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Energy Consumption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543065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/>
              <a:t>Production</a:t>
            </a:r>
            <a:r>
              <a:rPr lang="pt-PT" baseline="0"/>
              <a:t> of Energy by Renewable Sources vs Demand - January</a:t>
            </a:r>
            <a:endParaRPr lang="pt-PT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São Miguel'!$AN$39:$AW$39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São Miguel'!$AN$41:$AW$41</c:f>
              <c:numCache>
                <c:formatCode>General</c:formatCode>
                <c:ptCount val="10"/>
                <c:pt idx="0">
                  <c:v>84775.82342954159</c:v>
                </c:pt>
                <c:pt idx="1">
                  <c:v>74178.845500848896</c:v>
                </c:pt>
                <c:pt idx="2">
                  <c:v>74178.845500848896</c:v>
                </c:pt>
                <c:pt idx="3">
                  <c:v>90074.312393887943</c:v>
                </c:pt>
                <c:pt idx="4">
                  <c:v>123984.64176570458</c:v>
                </c:pt>
                <c:pt idx="5">
                  <c:v>132462.22410865876</c:v>
                </c:pt>
                <c:pt idx="6">
                  <c:v>127163.73514431241</c:v>
                </c:pt>
                <c:pt idx="7">
                  <c:v>123984.64176570458</c:v>
                </c:pt>
                <c:pt idx="8">
                  <c:v>153656.17996604415</c:v>
                </c:pt>
                <c:pt idx="9">
                  <c:v>122924.94397283532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8DC-4CDA-9141-0F4CCCFAC812}"/>
            </c:ext>
          </c:extLst>
        </c:ser>
        <c:ser>
          <c:idx val="1"/>
          <c:order val="1"/>
          <c:tx>
            <c:v>Energy Production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São Miguel'!$AN$39:$AW$39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São Miguel'!$AN$51:$AW$51</c:f>
              <c:numCache>
                <c:formatCode>General</c:formatCode>
                <c:ptCount val="10"/>
                <c:pt idx="0">
                  <c:v>118456.22661309601</c:v>
                </c:pt>
                <c:pt idx="1">
                  <c:v>150112.89100336173</c:v>
                </c:pt>
                <c:pt idx="2">
                  <c:v>113873.83737288343</c:v>
                </c:pt>
                <c:pt idx="3">
                  <c:v>105852.30546579379</c:v>
                </c:pt>
                <c:pt idx="4">
                  <c:v>98713.188926700095</c:v>
                </c:pt>
                <c:pt idx="5">
                  <c:v>133749.02128799562</c:v>
                </c:pt>
                <c:pt idx="6">
                  <c:v>137269.84826833144</c:v>
                </c:pt>
                <c:pt idx="7">
                  <c:v>120735.90698745656</c:v>
                </c:pt>
                <c:pt idx="8">
                  <c:v>75357.278153147519</c:v>
                </c:pt>
                <c:pt idx="9">
                  <c:v>68535.637914572479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8DC-4CDA-9141-0F4CCCFAC8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9925896"/>
        <c:axId val="149927944"/>
      </c:lineChart>
      <c:catAx>
        <c:axId val="1499258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49927944"/>
        <c:crosses val="autoZero"/>
        <c:auto val="1"/>
        <c:lblAlgn val="ctr"/>
        <c:lblOffset val="100"/>
        <c:noMultiLvlLbl val="0"/>
      </c:catAx>
      <c:valAx>
        <c:axId val="149927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499258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Production of Energy by Renewable Sources vs Demand - May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São Miguel'!$AN$84:$AW$84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São Miguel'!$AN$86:$AW$86</c:f>
              <c:numCache>
                <c:formatCode>General</c:formatCode>
                <c:ptCount val="10"/>
                <c:pt idx="0">
                  <c:v>43202.349942995104</c:v>
                </c:pt>
                <c:pt idx="1">
                  <c:v>37802.056200120714</c:v>
                </c:pt>
                <c:pt idx="2">
                  <c:v>37802.056200120714</c:v>
                </c:pt>
                <c:pt idx="3">
                  <c:v>41042.232445845351</c:v>
                </c:pt>
                <c:pt idx="4">
                  <c:v>56163.054925893637</c:v>
                </c:pt>
                <c:pt idx="5">
                  <c:v>64803.524914492657</c:v>
                </c:pt>
                <c:pt idx="6">
                  <c:v>64803.524914492657</c:v>
                </c:pt>
                <c:pt idx="7">
                  <c:v>58323.17242304339</c:v>
                </c:pt>
                <c:pt idx="8">
                  <c:v>56163.054925893637</c:v>
                </c:pt>
                <c:pt idx="9">
                  <c:v>59403.231171618274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CC7-42AB-838F-69F8C8C9B587}"/>
            </c:ext>
          </c:extLst>
        </c:ser>
        <c:ser>
          <c:idx val="1"/>
          <c:order val="1"/>
          <c:tx>
            <c:v>Energy Production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São Miguel'!$AN$84:$AW$84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São Miguel'!$AN$95:$AW$95</c:f>
              <c:numCache>
                <c:formatCode>General</c:formatCode>
                <c:ptCount val="10"/>
                <c:pt idx="0">
                  <c:v>99366.835772199076</c:v>
                </c:pt>
                <c:pt idx="1">
                  <c:v>96255.918952853011</c:v>
                </c:pt>
                <c:pt idx="2">
                  <c:v>112826.6034672496</c:v>
                </c:pt>
                <c:pt idx="3">
                  <c:v>94055.437724386633</c:v>
                </c:pt>
                <c:pt idx="4">
                  <c:v>141596.55285153398</c:v>
                </c:pt>
                <c:pt idx="5">
                  <c:v>124428.28872769627</c:v>
                </c:pt>
                <c:pt idx="6">
                  <c:v>127555.86510725765</c:v>
                </c:pt>
                <c:pt idx="7">
                  <c:v>157921.99838045414</c:v>
                </c:pt>
                <c:pt idx="8">
                  <c:v>111901.49410828517</c:v>
                </c:pt>
                <c:pt idx="9">
                  <c:v>128562.39523066518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CC7-42AB-838F-69F8C8C9B5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8084872"/>
        <c:axId val="1698102280"/>
      </c:lineChart>
      <c:catAx>
        <c:axId val="16980848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698102280"/>
        <c:crosses val="autoZero"/>
        <c:auto val="1"/>
        <c:lblAlgn val="ctr"/>
        <c:lblOffset val="100"/>
        <c:noMultiLvlLbl val="0"/>
      </c:catAx>
      <c:valAx>
        <c:axId val="16981022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6980848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Production of Energy by Renewable Sources vs Demand - June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São Miguel'!$BA$84:$BJ$84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São Miguel'!$BA$86:$BJ$86</c:f>
              <c:numCache>
                <c:formatCode>General</c:formatCode>
                <c:ptCount val="10"/>
                <c:pt idx="0">
                  <c:v>149471.88457711443</c:v>
                </c:pt>
                <c:pt idx="1">
                  <c:v>142354.17578772802</c:v>
                </c:pt>
                <c:pt idx="2">
                  <c:v>124559.90381426203</c:v>
                </c:pt>
                <c:pt idx="3">
                  <c:v>135236.46699834161</c:v>
                </c:pt>
                <c:pt idx="4">
                  <c:v>185060.42852404641</c:v>
                </c:pt>
                <c:pt idx="5">
                  <c:v>220648.97247097842</c:v>
                </c:pt>
                <c:pt idx="6">
                  <c:v>220648.97247097842</c:v>
                </c:pt>
                <c:pt idx="7">
                  <c:v>206413.5548922056</c:v>
                </c:pt>
                <c:pt idx="8">
                  <c:v>195736.99170812604</c:v>
                </c:pt>
                <c:pt idx="9">
                  <c:v>208192.98208955221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EEE-4AB3-B009-157CAA4A6E09}"/>
            </c:ext>
          </c:extLst>
        </c:ser>
        <c:ser>
          <c:idx val="1"/>
          <c:order val="1"/>
          <c:tx>
            <c:v>Energy Production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São Miguel'!$BA$84:$BJ$84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São Miguel'!$BA$95:$BJ$95</c:f>
              <c:numCache>
                <c:formatCode>General</c:formatCode>
                <c:ptCount val="10"/>
                <c:pt idx="0">
                  <c:v>103324.33385391775</c:v>
                </c:pt>
                <c:pt idx="1">
                  <c:v>104759.75511587047</c:v>
                </c:pt>
                <c:pt idx="2">
                  <c:v>134355.24043106579</c:v>
                </c:pt>
                <c:pt idx="3">
                  <c:v>109486.1184147544</c:v>
                </c:pt>
                <c:pt idx="4">
                  <c:v>154561.08613593929</c:v>
                </c:pt>
                <c:pt idx="5">
                  <c:v>128170.91301054897</c:v>
                </c:pt>
                <c:pt idx="6">
                  <c:v>132750.18949023026</c:v>
                </c:pt>
                <c:pt idx="7">
                  <c:v>164859.03282155783</c:v>
                </c:pt>
                <c:pt idx="8">
                  <c:v>111833.56705213548</c:v>
                </c:pt>
                <c:pt idx="9">
                  <c:v>129578.810985808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EEE-4AB3-B009-157CAA4A6E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15379720"/>
        <c:axId val="1115402760"/>
      </c:lineChart>
      <c:catAx>
        <c:axId val="1115379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15402760"/>
        <c:crosses val="autoZero"/>
        <c:auto val="1"/>
        <c:lblAlgn val="ctr"/>
        <c:lblOffset val="100"/>
        <c:noMultiLvlLbl val="0"/>
      </c:catAx>
      <c:valAx>
        <c:axId val="1115402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15379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</a:t>
            </a:r>
            <a:r>
              <a:rPr lang="en-US" baseline="0"/>
              <a:t> vs Demand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Production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Faial!$AX$3:$BI$3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Faial!$AX$19:$BI$19</c:f>
              <c:numCache>
                <c:formatCode>General</c:formatCode>
                <c:ptCount val="12"/>
                <c:pt idx="0">
                  <c:v>4320254</c:v>
                </c:pt>
                <c:pt idx="1">
                  <c:v>3820833</c:v>
                </c:pt>
                <c:pt idx="2">
                  <c:v>4238982</c:v>
                </c:pt>
                <c:pt idx="3">
                  <c:v>4012724</c:v>
                </c:pt>
                <c:pt idx="4">
                  <c:v>4053026</c:v>
                </c:pt>
                <c:pt idx="5">
                  <c:v>4063501</c:v>
                </c:pt>
                <c:pt idx="6">
                  <c:v>4710235</c:v>
                </c:pt>
                <c:pt idx="7">
                  <c:v>4889276</c:v>
                </c:pt>
                <c:pt idx="8">
                  <c:v>4547816</c:v>
                </c:pt>
                <c:pt idx="9">
                  <c:v>4232039</c:v>
                </c:pt>
                <c:pt idx="10">
                  <c:v>4081413</c:v>
                </c:pt>
                <c:pt idx="11">
                  <c:v>4336979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92F-4B14-A5E4-980BB777DA24}"/>
            </c:ext>
          </c:extLst>
        </c:ser>
        <c:ser>
          <c:idx val="1"/>
          <c:order val="1"/>
          <c:tx>
            <c:v>Demand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Faial!$AX$3:$BI$3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Faial!$AX$43:$BI$43</c:f>
              <c:numCache>
                <c:formatCode>General</c:formatCode>
                <c:ptCount val="12"/>
                <c:pt idx="0">
                  <c:v>3782515</c:v>
                </c:pt>
                <c:pt idx="1">
                  <c:v>3544391</c:v>
                </c:pt>
                <c:pt idx="2">
                  <c:v>3820841</c:v>
                </c:pt>
                <c:pt idx="3">
                  <c:v>3743867</c:v>
                </c:pt>
                <c:pt idx="4">
                  <c:v>1988599</c:v>
                </c:pt>
                <c:pt idx="5">
                  <c:v>5499199</c:v>
                </c:pt>
                <c:pt idx="6">
                  <c:v>3937773</c:v>
                </c:pt>
                <c:pt idx="7">
                  <c:v>4271695</c:v>
                </c:pt>
                <c:pt idx="8">
                  <c:v>4199085</c:v>
                </c:pt>
                <c:pt idx="9">
                  <c:v>3937708</c:v>
                </c:pt>
                <c:pt idx="10">
                  <c:v>3733008</c:v>
                </c:pt>
                <c:pt idx="11">
                  <c:v>3568006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92F-4B14-A5E4-980BB777DA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98158856"/>
        <c:axId val="598181384"/>
      </c:barChart>
      <c:catAx>
        <c:axId val="598158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98181384"/>
        <c:crosses val="autoZero"/>
        <c:auto val="1"/>
        <c:lblAlgn val="ctr"/>
        <c:lblOffset val="100"/>
        <c:noMultiLvlLbl val="0"/>
      </c:catAx>
      <c:valAx>
        <c:axId val="5981813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98158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5318610755206198"/>
          <c:y val="0.89372767428461686"/>
          <c:w val="0.29696084864391953"/>
          <c:h val="7.839776125545282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Percentage of Renewables in Energy Production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v>Renewable Sources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Faial!$AX$3:$BI$3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Faial!$AX$21:$BI$21</c:f>
              <c:numCache>
                <c:formatCode>General</c:formatCode>
                <c:ptCount val="12"/>
                <c:pt idx="0">
                  <c:v>415244</c:v>
                </c:pt>
                <c:pt idx="1">
                  <c:v>307648</c:v>
                </c:pt>
                <c:pt idx="2">
                  <c:v>642500</c:v>
                </c:pt>
                <c:pt idx="3">
                  <c:v>666103</c:v>
                </c:pt>
                <c:pt idx="4">
                  <c:v>527788</c:v>
                </c:pt>
                <c:pt idx="5">
                  <c:v>486492</c:v>
                </c:pt>
                <c:pt idx="6">
                  <c:v>221869</c:v>
                </c:pt>
                <c:pt idx="7">
                  <c:v>173758</c:v>
                </c:pt>
                <c:pt idx="8">
                  <c:v>412818</c:v>
                </c:pt>
                <c:pt idx="9">
                  <c:v>515675</c:v>
                </c:pt>
                <c:pt idx="10">
                  <c:v>502834</c:v>
                </c:pt>
                <c:pt idx="11">
                  <c:v>666344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301-407D-B50A-75F50206833D}"/>
            </c:ext>
          </c:extLst>
        </c:ser>
        <c:ser>
          <c:idx val="1"/>
          <c:order val="1"/>
          <c:tx>
            <c:v>Fossil Fuels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Faial!$AX$3:$BI$3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Faial!$AX$22:$BI$22</c:f>
              <c:numCache>
                <c:formatCode>General</c:formatCode>
                <c:ptCount val="12"/>
                <c:pt idx="0">
                  <c:v>3905010</c:v>
                </c:pt>
                <c:pt idx="1">
                  <c:v>3513185</c:v>
                </c:pt>
                <c:pt idx="2">
                  <c:v>3596482</c:v>
                </c:pt>
                <c:pt idx="3">
                  <c:v>3346621</c:v>
                </c:pt>
                <c:pt idx="4">
                  <c:v>3525238</c:v>
                </c:pt>
                <c:pt idx="5">
                  <c:v>3577009</c:v>
                </c:pt>
                <c:pt idx="6">
                  <c:v>4488366</c:v>
                </c:pt>
                <c:pt idx="7">
                  <c:v>4715518</c:v>
                </c:pt>
                <c:pt idx="8">
                  <c:v>4134998</c:v>
                </c:pt>
                <c:pt idx="9">
                  <c:v>3716364</c:v>
                </c:pt>
                <c:pt idx="10">
                  <c:v>3578579</c:v>
                </c:pt>
                <c:pt idx="11">
                  <c:v>3670635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301-407D-B50A-75F5020683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339372552"/>
        <c:axId val="1339375624"/>
      </c:barChart>
      <c:catAx>
        <c:axId val="1339372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339375624"/>
        <c:crosses val="autoZero"/>
        <c:auto val="1"/>
        <c:lblAlgn val="ctr"/>
        <c:lblOffset val="100"/>
        <c:noMultiLvlLbl val="0"/>
      </c:catAx>
      <c:valAx>
        <c:axId val="1339375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339372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Faial!$BP$50:$BY$50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Faial!$BP$52:$BY$52</c:f>
              <c:numCache>
                <c:formatCode>General</c:formatCode>
                <c:ptCount val="10"/>
                <c:pt idx="0">
                  <c:v>10533.808308192156</c:v>
                </c:pt>
                <c:pt idx="1">
                  <c:v>8778.1735901601296</c:v>
                </c:pt>
                <c:pt idx="2">
                  <c:v>8778.1735901601296</c:v>
                </c:pt>
                <c:pt idx="3">
                  <c:v>9655.9909491761427</c:v>
                </c:pt>
                <c:pt idx="4">
                  <c:v>12289.443026224182</c:v>
                </c:pt>
                <c:pt idx="5">
                  <c:v>13167.260385240194</c:v>
                </c:pt>
                <c:pt idx="6">
                  <c:v>13167.260385240194</c:v>
                </c:pt>
                <c:pt idx="7">
                  <c:v>14045.077744256208</c:v>
                </c:pt>
                <c:pt idx="8">
                  <c:v>15800.712462288233</c:v>
                </c:pt>
                <c:pt idx="9">
                  <c:v>15800.712462288233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AC3-4D0D-BB69-7CABCA8AB3AE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Faial!$BP$50:$BY$50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Faial!$BP$60:$BY$60</c:f>
              <c:numCache>
                <c:formatCode>General</c:formatCode>
                <c:ptCount val="10"/>
                <c:pt idx="0">
                  <c:v>1041.667069066456</c:v>
                </c:pt>
                <c:pt idx="1">
                  <c:v>1080.010475416371</c:v>
                </c:pt>
                <c:pt idx="2">
                  <c:v>1624.6174419060042</c:v>
                </c:pt>
                <c:pt idx="3">
                  <c:v>1102.6047766391744</c:v>
                </c:pt>
                <c:pt idx="4">
                  <c:v>1823.6213259992167</c:v>
                </c:pt>
                <c:pt idx="5">
                  <c:v>1261.4751507941555</c:v>
                </c:pt>
                <c:pt idx="6">
                  <c:v>1169.4260849600585</c:v>
                </c:pt>
                <c:pt idx="7">
                  <c:v>1618.3583119398202</c:v>
                </c:pt>
                <c:pt idx="8">
                  <c:v>1073.849599861926</c:v>
                </c:pt>
                <c:pt idx="9">
                  <c:v>1599.3375053523027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AC3-4D0D-BB69-7CABCA8AB3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1312647"/>
        <c:axId val="1826881544"/>
      </c:lineChart>
      <c:catAx>
        <c:axId val="8113126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26881544"/>
        <c:crosses val="autoZero"/>
        <c:auto val="1"/>
        <c:lblAlgn val="ctr"/>
        <c:lblOffset val="100"/>
        <c:noMultiLvlLbl val="0"/>
      </c:catAx>
      <c:valAx>
        <c:axId val="1826881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8113126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Consumo Eletrico por setor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665-439C-9634-E8F40D787AE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665-439C-9634-E8F40D787AE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665-439C-9634-E8F40D787AE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665-439C-9634-E8F40D787AE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665-439C-9634-E8F40D787AE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665-439C-9634-E8F40D787AE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665-439C-9634-E8F40D787AEA}"/>
              </c:ext>
            </c:extLst>
          </c:dPt>
          <c:cat>
            <c:strRef>
              <c:f>'São Miguel'!$AW$31:$AW$37</c:f>
              <c:strCache>
                <c:ptCount val="7"/>
                <c:pt idx="0">
                  <c:v>Comércio e Serviços</c:v>
                </c:pt>
                <c:pt idx="1">
                  <c:v>Cons. Próprio (Industrial)</c:v>
                </c:pt>
                <c:pt idx="2">
                  <c:v>Domésticos</c:v>
                </c:pt>
                <c:pt idx="3">
                  <c:v>Iluminação Pública</c:v>
                </c:pt>
                <c:pt idx="4">
                  <c:v>Industriais</c:v>
                </c:pt>
                <c:pt idx="5">
                  <c:v>Mobilidade Elétrica</c:v>
                </c:pt>
                <c:pt idx="6">
                  <c:v>Serviços Públicos</c:v>
                </c:pt>
              </c:strCache>
            </c:strRef>
          </c:cat>
          <c:val>
            <c:numRef>
              <c:f>'São Miguel'!$BJ$31:$BJ$37</c:f>
              <c:numCache>
                <c:formatCode>General</c:formatCode>
                <c:ptCount val="7"/>
                <c:pt idx="0">
                  <c:v>160706084</c:v>
                </c:pt>
                <c:pt idx="1">
                  <c:v>1254364</c:v>
                </c:pt>
                <c:pt idx="2">
                  <c:v>147358073</c:v>
                </c:pt>
                <c:pt idx="3">
                  <c:v>10302114</c:v>
                </c:pt>
                <c:pt idx="4">
                  <c:v>78520061</c:v>
                </c:pt>
                <c:pt idx="5">
                  <c:v>66621</c:v>
                </c:pt>
                <c:pt idx="6">
                  <c:v>26239652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556-4CBB-84FF-E3A2053A7D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of energy by Renewable Sources vs Demand  - February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Faial!$CJ$50:$CS$50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Faial!$CJ$52:$CS$52</c:f>
              <c:numCache>
                <c:formatCode>General</c:formatCode>
                <c:ptCount val="10"/>
                <c:pt idx="0">
                  <c:v>11336.005330490405</c:v>
                </c:pt>
                <c:pt idx="1">
                  <c:v>9446.6711087420026</c:v>
                </c:pt>
                <c:pt idx="2">
                  <c:v>9446.6711087420026</c:v>
                </c:pt>
                <c:pt idx="3">
                  <c:v>10391.338219616204</c:v>
                </c:pt>
                <c:pt idx="4">
                  <c:v>12280.672441364606</c:v>
                </c:pt>
                <c:pt idx="5">
                  <c:v>13225.339552238805</c:v>
                </c:pt>
                <c:pt idx="6">
                  <c:v>13225.339552238805</c:v>
                </c:pt>
                <c:pt idx="7">
                  <c:v>13225.339552238805</c:v>
                </c:pt>
                <c:pt idx="8">
                  <c:v>17004.007995735607</c:v>
                </c:pt>
                <c:pt idx="9">
                  <c:v>17004.007995735607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1FC-410A-A9E4-A1B14953EB4D}"/>
            </c:ext>
          </c:extLst>
        </c:ser>
        <c:ser>
          <c:idx val="1"/>
          <c:order val="1"/>
          <c:tx>
            <c:v>Energy production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Faial!$CJ$50:$CS$50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Faial!$CJ$60:$CS$60</c:f>
              <c:numCache>
                <c:formatCode>General</c:formatCode>
                <c:ptCount val="10"/>
                <c:pt idx="0">
                  <c:v>968.92194612198864</c:v>
                </c:pt>
                <c:pt idx="1">
                  <c:v>914.86962756330672</c:v>
                </c:pt>
                <c:pt idx="2">
                  <c:v>1370.6884804987221</c:v>
                </c:pt>
                <c:pt idx="3">
                  <c:v>830.35676247701792</c:v>
                </c:pt>
                <c:pt idx="4">
                  <c:v>1326.4629149435018</c:v>
                </c:pt>
                <c:pt idx="5">
                  <c:v>925.39167990722603</c:v>
                </c:pt>
                <c:pt idx="6">
                  <c:v>937.25470157571522</c:v>
                </c:pt>
                <c:pt idx="7">
                  <c:v>1324.3173833912888</c:v>
                </c:pt>
                <c:pt idx="8">
                  <c:v>933.40746662243896</c:v>
                </c:pt>
                <c:pt idx="9">
                  <c:v>1455.7576083273634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1FC-410A-A9E4-A1B14953EB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599048"/>
        <c:axId val="1826897928"/>
      </c:lineChart>
      <c:catAx>
        <c:axId val="805990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26897928"/>
        <c:crosses val="autoZero"/>
        <c:auto val="1"/>
        <c:lblAlgn val="ctr"/>
        <c:lblOffset val="100"/>
        <c:noMultiLvlLbl val="0"/>
      </c:catAx>
      <c:valAx>
        <c:axId val="1826897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[kWh]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805990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Faial!$CZ$50:$DI$50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Faial!$CZ$52:$DI$52</c:f>
              <c:numCache>
                <c:formatCode>General</c:formatCode>
                <c:ptCount val="10"/>
                <c:pt idx="0">
                  <c:v>10760.176907322068</c:v>
                </c:pt>
                <c:pt idx="1">
                  <c:v>8803.7811059907835</c:v>
                </c:pt>
                <c:pt idx="2">
                  <c:v>8803.7811059907835</c:v>
                </c:pt>
                <c:pt idx="3">
                  <c:v>8803.7811059907835</c:v>
                </c:pt>
                <c:pt idx="4">
                  <c:v>12716.572708653353</c:v>
                </c:pt>
                <c:pt idx="5">
                  <c:v>13694.770609318995</c:v>
                </c:pt>
                <c:pt idx="6">
                  <c:v>13694.770609318995</c:v>
                </c:pt>
                <c:pt idx="7">
                  <c:v>12716.572708653353</c:v>
                </c:pt>
                <c:pt idx="8">
                  <c:v>16629.364311315923</c:v>
                </c:pt>
                <c:pt idx="9">
                  <c:v>16629.364311315923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C0-48CE-AE8E-E8B57B89F2BE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Faial!$CZ$50:$DI$50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Faial!$CZ$60:$DI$60</c:f>
              <c:numCache>
                <c:formatCode>General</c:formatCode>
                <c:ptCount val="10"/>
                <c:pt idx="0">
                  <c:v>1588.5380313920257</c:v>
                </c:pt>
                <c:pt idx="1">
                  <c:v>1590.2771517317788</c:v>
                </c:pt>
                <c:pt idx="2">
                  <c:v>2376.7767648039649</c:v>
                </c:pt>
                <c:pt idx="3">
                  <c:v>1783.8055287394798</c:v>
                </c:pt>
                <c:pt idx="4">
                  <c:v>2733.9597273517716</c:v>
                </c:pt>
                <c:pt idx="5">
                  <c:v>1895.841290459357</c:v>
                </c:pt>
                <c:pt idx="6">
                  <c:v>1919.1059425868339</c:v>
                </c:pt>
                <c:pt idx="7">
                  <c:v>2697.2476481436229</c:v>
                </c:pt>
                <c:pt idx="8">
                  <c:v>1792.3564038700611</c:v>
                </c:pt>
                <c:pt idx="9">
                  <c:v>2347.8979625340053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DC0-48CE-AE8E-E8B57B89F2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99323400"/>
        <c:axId val="299325448"/>
      </c:lineChart>
      <c:catAx>
        <c:axId val="299323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99325448"/>
        <c:crosses val="autoZero"/>
        <c:auto val="1"/>
        <c:lblAlgn val="ctr"/>
        <c:lblOffset val="100"/>
        <c:noMultiLvlLbl val="0"/>
      </c:catAx>
      <c:valAx>
        <c:axId val="299325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99323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of energy by Renewable Sources vs Demand  - April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Faial!$DN$50:$DW$50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Faial!$DN$52:$DW$52</c:f>
              <c:numCache>
                <c:formatCode>General</c:formatCode>
                <c:ptCount val="10"/>
                <c:pt idx="0">
                  <c:v>11633.485028248588</c:v>
                </c:pt>
                <c:pt idx="1">
                  <c:v>9518.3059322033896</c:v>
                </c:pt>
                <c:pt idx="2">
                  <c:v>8460.7163841807906</c:v>
                </c:pt>
                <c:pt idx="3">
                  <c:v>9518.3059322033896</c:v>
                </c:pt>
                <c:pt idx="4">
                  <c:v>13748.664124293786</c:v>
                </c:pt>
                <c:pt idx="5">
                  <c:v>13748.664124293786</c:v>
                </c:pt>
                <c:pt idx="6">
                  <c:v>13748.664124293786</c:v>
                </c:pt>
                <c:pt idx="7">
                  <c:v>12691.074576271187</c:v>
                </c:pt>
                <c:pt idx="8">
                  <c:v>15863.843220338982</c:v>
                </c:pt>
                <c:pt idx="9">
                  <c:v>15863.843220338982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C0-413C-B466-C93B21CE9DD2}"/>
            </c:ext>
          </c:extLst>
        </c:ser>
        <c:ser>
          <c:idx val="1"/>
          <c:order val="1"/>
          <c:tx>
            <c:v>Production of energy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Faial!$DN$50:$DW$50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Faial!$DN$60:$DW$60</c:f>
              <c:numCache>
                <c:formatCode>General</c:formatCode>
                <c:ptCount val="10"/>
                <c:pt idx="0">
                  <c:v>143.58142174175848</c:v>
                </c:pt>
                <c:pt idx="1">
                  <c:v>143.70824161592233</c:v>
                </c:pt>
                <c:pt idx="2">
                  <c:v>145.61281946170288</c:v>
                </c:pt>
                <c:pt idx="3">
                  <c:v>147.50611353122855</c:v>
                </c:pt>
                <c:pt idx="4">
                  <c:v>159.33226779543239</c:v>
                </c:pt>
                <c:pt idx="5">
                  <c:v>154.23193741656149</c:v>
                </c:pt>
                <c:pt idx="6">
                  <c:v>153.11931907654986</c:v>
                </c:pt>
                <c:pt idx="7">
                  <c:v>151.91910129517311</c:v>
                </c:pt>
                <c:pt idx="8">
                  <c:v>143.72654134073059</c:v>
                </c:pt>
                <c:pt idx="9">
                  <c:v>145.09557005827364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9C0-413C-B466-C93B21CE9D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77785351"/>
        <c:axId val="377795591"/>
      </c:lineChart>
      <c:catAx>
        <c:axId val="377785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77795591"/>
        <c:crosses val="autoZero"/>
        <c:auto val="1"/>
        <c:lblAlgn val="ctr"/>
        <c:lblOffset val="100"/>
        <c:noMultiLvlLbl val="0"/>
      </c:catAx>
      <c:valAx>
        <c:axId val="377795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77785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Faial!$BP$105:$BY$105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Faial!$BP$107:$BY$107</c:f>
              <c:numCache>
                <c:formatCode>General</c:formatCode>
                <c:ptCount val="10"/>
                <c:pt idx="0">
                  <c:v>5530.0305895439378</c:v>
                </c:pt>
                <c:pt idx="1">
                  <c:v>4977.0275305895439</c:v>
                </c:pt>
                <c:pt idx="2">
                  <c:v>4977.0275305895439</c:v>
                </c:pt>
                <c:pt idx="3">
                  <c:v>4977.0275305895439</c:v>
                </c:pt>
                <c:pt idx="4">
                  <c:v>7189.0397664071188</c:v>
                </c:pt>
                <c:pt idx="5">
                  <c:v>7189.0397664071188</c:v>
                </c:pt>
                <c:pt idx="6">
                  <c:v>7742.0428253615128</c:v>
                </c:pt>
                <c:pt idx="7">
                  <c:v>6636.0367074527248</c:v>
                </c:pt>
                <c:pt idx="8">
                  <c:v>6636.0367074527248</c:v>
                </c:pt>
                <c:pt idx="9">
                  <c:v>8295.0458843159067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8DB-4C04-871D-D0FA40E5F157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Faial!$BP$105:$BY$105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Faial!$BP$115:$BY$115</c:f>
              <c:numCache>
                <c:formatCode>General</c:formatCode>
                <c:ptCount val="10"/>
                <c:pt idx="0">
                  <c:v>1371.5419434322744</c:v>
                </c:pt>
                <c:pt idx="1">
                  <c:v>1312.9692620003493</c:v>
                </c:pt>
                <c:pt idx="2">
                  <c:v>2047.9156322195463</c:v>
                </c:pt>
                <c:pt idx="3">
                  <c:v>1456.3996838207242</c:v>
                </c:pt>
                <c:pt idx="4">
                  <c:v>2205.1356385217805</c:v>
                </c:pt>
                <c:pt idx="5">
                  <c:v>1556.4246460666377</c:v>
                </c:pt>
                <c:pt idx="6">
                  <c:v>1512.9228380926613</c:v>
                </c:pt>
                <c:pt idx="7">
                  <c:v>2168.7700039428996</c:v>
                </c:pt>
                <c:pt idx="8">
                  <c:v>1401.9273813113391</c:v>
                </c:pt>
                <c:pt idx="9">
                  <c:v>1991.4123254304948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8DB-4C04-871D-D0FA40E5F1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59269895"/>
        <c:axId val="759259655"/>
      </c:lineChart>
      <c:catAx>
        <c:axId val="759269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59259655"/>
        <c:crosses val="autoZero"/>
        <c:auto val="1"/>
        <c:lblAlgn val="ctr"/>
        <c:lblOffset val="100"/>
        <c:noMultiLvlLbl val="0"/>
      </c:catAx>
      <c:valAx>
        <c:axId val="7592596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592698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Faial!$CJ$105:$CS$105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Faial!$CJ$107:$CS$107</c:f>
              <c:numCache>
                <c:formatCode>General</c:formatCode>
                <c:ptCount val="10"/>
                <c:pt idx="0">
                  <c:v>15939.707246376811</c:v>
                </c:pt>
                <c:pt idx="1">
                  <c:v>14345.736521739131</c:v>
                </c:pt>
                <c:pt idx="2">
                  <c:v>14345.736521739131</c:v>
                </c:pt>
                <c:pt idx="3">
                  <c:v>14345.736521739131</c:v>
                </c:pt>
                <c:pt idx="4">
                  <c:v>19127.648695652173</c:v>
                </c:pt>
                <c:pt idx="5">
                  <c:v>22315.590144927537</c:v>
                </c:pt>
                <c:pt idx="6">
                  <c:v>22315.590144927537</c:v>
                </c:pt>
                <c:pt idx="7">
                  <c:v>19127.648695652173</c:v>
                </c:pt>
                <c:pt idx="8">
                  <c:v>19127.648695652173</c:v>
                </c:pt>
                <c:pt idx="9">
                  <c:v>22315.590144927537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A4-4E68-B3AF-E7C741A6DC87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Faial!$CJ$105:$CS$105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Faial!$CJ$115:$CS$115</c:f>
              <c:numCache>
                <c:formatCode>General</c:formatCode>
                <c:ptCount val="10"/>
                <c:pt idx="0">
                  <c:v>1208.9560729784919</c:v>
                </c:pt>
                <c:pt idx="1">
                  <c:v>1244.4511496076643</c:v>
                </c:pt>
                <c:pt idx="2">
                  <c:v>1984.5093190822931</c:v>
                </c:pt>
                <c:pt idx="3">
                  <c:v>1424.2930161197798</c:v>
                </c:pt>
                <c:pt idx="4">
                  <c:v>2182.0012243342435</c:v>
                </c:pt>
                <c:pt idx="5">
                  <c:v>1445.4866285588409</c:v>
                </c:pt>
                <c:pt idx="6">
                  <c:v>1486.0151951093064</c:v>
                </c:pt>
                <c:pt idx="7">
                  <c:v>2106.6098329165552</c:v>
                </c:pt>
                <c:pt idx="8">
                  <c:v>1295.4135178818797</c:v>
                </c:pt>
                <c:pt idx="9">
                  <c:v>1838.6640434109447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DA4-4E68-B3AF-E7C741A6DC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59292423"/>
        <c:axId val="759294471"/>
      </c:lineChart>
      <c:catAx>
        <c:axId val="759292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59294471"/>
        <c:crosses val="autoZero"/>
        <c:auto val="1"/>
        <c:lblAlgn val="ctr"/>
        <c:lblOffset val="100"/>
        <c:noMultiLvlLbl val="0"/>
      </c:catAx>
      <c:valAx>
        <c:axId val="7592944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59292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of energy by Renewable Sources vs Demand  - July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Faial!$CZ$105:$DI$105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Faial!$CZ$107:$DI$107</c:f>
              <c:numCache>
                <c:formatCode>General</c:formatCode>
                <c:ptCount val="10"/>
                <c:pt idx="0">
                  <c:v>12097.612903225807</c:v>
                </c:pt>
                <c:pt idx="1">
                  <c:v>10081.344086021505</c:v>
                </c:pt>
                <c:pt idx="2">
                  <c:v>9073.2096774193542</c:v>
                </c:pt>
                <c:pt idx="3">
                  <c:v>9073.2096774193542</c:v>
                </c:pt>
                <c:pt idx="4">
                  <c:v>14113.881720430107</c:v>
                </c:pt>
                <c:pt idx="5">
                  <c:v>15122.016129032258</c:v>
                </c:pt>
                <c:pt idx="6">
                  <c:v>15122.016129032258</c:v>
                </c:pt>
                <c:pt idx="7">
                  <c:v>15122.016129032258</c:v>
                </c:pt>
                <c:pt idx="8">
                  <c:v>13105.747311827956</c:v>
                </c:pt>
                <c:pt idx="9">
                  <c:v>14113.881720430107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8C3-422A-AFB5-031A773635DD}"/>
            </c:ext>
          </c:extLst>
        </c:ser>
        <c:ser>
          <c:idx val="1"/>
          <c:order val="1"/>
          <c:tx>
            <c:v>Production of energy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Faial!$CZ$105:$DI$105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Faial!$CZ$115:$DI$115</c:f>
              <c:numCache>
                <c:formatCode>General</c:formatCode>
                <c:ptCount val="10"/>
                <c:pt idx="0">
                  <c:v>539.16507865250594</c:v>
                </c:pt>
                <c:pt idx="1">
                  <c:v>531.88687082056458</c:v>
                </c:pt>
                <c:pt idx="2">
                  <c:v>814.33931050119475</c:v>
                </c:pt>
                <c:pt idx="3">
                  <c:v>603.02297055339579</c:v>
                </c:pt>
                <c:pt idx="4">
                  <c:v>985.01976619124548</c:v>
                </c:pt>
                <c:pt idx="5">
                  <c:v>690.67892756122137</c:v>
                </c:pt>
                <c:pt idx="6">
                  <c:v>687.68151492612901</c:v>
                </c:pt>
                <c:pt idx="7">
                  <c:v>918.08405458753816</c:v>
                </c:pt>
                <c:pt idx="8">
                  <c:v>549.37965138114498</c:v>
                </c:pt>
                <c:pt idx="9">
                  <c:v>837.80637095409156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8C3-422A-AFB5-031A773635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0512008"/>
        <c:axId val="560518152"/>
      </c:lineChart>
      <c:catAx>
        <c:axId val="560512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60518152"/>
        <c:crosses val="autoZero"/>
        <c:auto val="1"/>
        <c:lblAlgn val="ctr"/>
        <c:lblOffset val="100"/>
        <c:noMultiLvlLbl val="0"/>
      </c:catAx>
      <c:valAx>
        <c:axId val="560518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[kWh]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605120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Faial!$DN$105:$DW$105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Faial!$DN$107:$DW$107</c:f>
              <c:numCache>
                <c:formatCode>General</c:formatCode>
                <c:ptCount val="10"/>
                <c:pt idx="0">
                  <c:v>12719.687344913153</c:v>
                </c:pt>
                <c:pt idx="1">
                  <c:v>11659.713399503724</c:v>
                </c:pt>
                <c:pt idx="2">
                  <c:v>10599.739454094295</c:v>
                </c:pt>
                <c:pt idx="3">
                  <c:v>10599.739454094295</c:v>
                </c:pt>
                <c:pt idx="4">
                  <c:v>13779.661290322583</c:v>
                </c:pt>
                <c:pt idx="5">
                  <c:v>15899.609181141441</c:v>
                </c:pt>
                <c:pt idx="6">
                  <c:v>15899.609181141441</c:v>
                </c:pt>
                <c:pt idx="7">
                  <c:v>15899.609181141441</c:v>
                </c:pt>
                <c:pt idx="8">
                  <c:v>14839.635235732012</c:v>
                </c:pt>
                <c:pt idx="9">
                  <c:v>15899.609181141441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E08-4119-B561-EB14E0ECEBBC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Faial!$DN$105:$DW$105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Faial!$DN$115:$DW$115</c:f>
              <c:numCache>
                <c:formatCode>General</c:formatCode>
                <c:ptCount val="10"/>
                <c:pt idx="0">
                  <c:v>419.08522449463351</c:v>
                </c:pt>
                <c:pt idx="1">
                  <c:v>445.84829846095602</c:v>
                </c:pt>
                <c:pt idx="2">
                  <c:v>676.76621386400609</c:v>
                </c:pt>
                <c:pt idx="3">
                  <c:v>472.05226684088649</c:v>
                </c:pt>
                <c:pt idx="4">
                  <c:v>810.91271720335612</c:v>
                </c:pt>
                <c:pt idx="5">
                  <c:v>561.45093838853552</c:v>
                </c:pt>
                <c:pt idx="6">
                  <c:v>531.17549958487461</c:v>
                </c:pt>
                <c:pt idx="7">
                  <c:v>701.3994562959632</c:v>
                </c:pt>
                <c:pt idx="8">
                  <c:v>405.03978296240729</c:v>
                </c:pt>
                <c:pt idx="9">
                  <c:v>581.36637609793002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E08-4119-B561-EB14E0ECEB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1255047"/>
        <c:axId val="631257095"/>
      </c:lineChart>
      <c:catAx>
        <c:axId val="6312550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631257095"/>
        <c:crosses val="autoZero"/>
        <c:auto val="1"/>
        <c:lblAlgn val="ctr"/>
        <c:lblOffset val="100"/>
        <c:noMultiLvlLbl val="0"/>
      </c:catAx>
      <c:valAx>
        <c:axId val="6312570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6312550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Faial!$BP$168:$BY$168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Faial!$BP$170:$BY$170</c:f>
              <c:numCache>
                <c:formatCode>General</c:formatCode>
                <c:ptCount val="10"/>
                <c:pt idx="0">
                  <c:v>12821.63358778626</c:v>
                </c:pt>
                <c:pt idx="1">
                  <c:v>11753.164122137405</c:v>
                </c:pt>
                <c:pt idx="2">
                  <c:v>10684.694656488549</c:v>
                </c:pt>
                <c:pt idx="3">
                  <c:v>11753.164122137405</c:v>
                </c:pt>
                <c:pt idx="4">
                  <c:v>13890.103053435114</c:v>
                </c:pt>
                <c:pt idx="5">
                  <c:v>16027.041984732823</c:v>
                </c:pt>
                <c:pt idx="6">
                  <c:v>16027.041984732823</c:v>
                </c:pt>
                <c:pt idx="7">
                  <c:v>16027.041984732823</c:v>
                </c:pt>
                <c:pt idx="8">
                  <c:v>14958.572519083969</c:v>
                </c:pt>
                <c:pt idx="9">
                  <c:v>16027.041984732823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998-4218-A40F-2020C6889E6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Faial!$BP$168:$BY$168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Faial!$BP$178:$BY$178</c:f>
              <c:numCache>
                <c:formatCode>General</c:formatCode>
                <c:ptCount val="10"/>
                <c:pt idx="0">
                  <c:v>1124.1457772911381</c:v>
                </c:pt>
                <c:pt idx="1">
                  <c:v>1128.9930836167639</c:v>
                </c:pt>
                <c:pt idx="2">
                  <c:v>1668.9156327988717</c:v>
                </c:pt>
                <c:pt idx="3">
                  <c:v>1168.4116529943369</c:v>
                </c:pt>
                <c:pt idx="4">
                  <c:v>1779.7395723521313</c:v>
                </c:pt>
                <c:pt idx="5">
                  <c:v>1189.6059101669073</c:v>
                </c:pt>
                <c:pt idx="6">
                  <c:v>1182.7484379201971</c:v>
                </c:pt>
                <c:pt idx="7">
                  <c:v>1704.0156716829495</c:v>
                </c:pt>
                <c:pt idx="8">
                  <c:v>1129.6344654723773</c:v>
                </c:pt>
                <c:pt idx="9">
                  <c:v>1684.3897957043287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998-4218-A40F-2020C6889E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1289351"/>
        <c:axId val="71320583"/>
      </c:lineChart>
      <c:catAx>
        <c:axId val="631289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1320583"/>
        <c:crosses val="autoZero"/>
        <c:auto val="1"/>
        <c:lblAlgn val="ctr"/>
        <c:lblOffset val="100"/>
        <c:noMultiLvlLbl val="0"/>
      </c:catAx>
      <c:valAx>
        <c:axId val="713205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631289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Faial!$CJ$168:$CS$168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Faial!$CJ$170:$CS$170</c:f>
              <c:numCache>
                <c:formatCode>General</c:formatCode>
                <c:ptCount val="10"/>
                <c:pt idx="0">
                  <c:v>11452.878900052883</c:v>
                </c:pt>
                <c:pt idx="1">
                  <c:v>10411.708090957165</c:v>
                </c:pt>
                <c:pt idx="2">
                  <c:v>10411.708090957165</c:v>
                </c:pt>
                <c:pt idx="3">
                  <c:v>10411.708090957165</c:v>
                </c:pt>
                <c:pt idx="4">
                  <c:v>12494.0497091486</c:v>
                </c:pt>
                <c:pt idx="5">
                  <c:v>14576.391327340032</c:v>
                </c:pt>
                <c:pt idx="6">
                  <c:v>14576.391327340032</c:v>
                </c:pt>
                <c:pt idx="7">
                  <c:v>12494.0497091486</c:v>
                </c:pt>
                <c:pt idx="8">
                  <c:v>15617.562136435748</c:v>
                </c:pt>
                <c:pt idx="9">
                  <c:v>14576.391327340032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0C2-4531-B268-3CC8E288E395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Faial!$CJ$168:$CS$168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Faial!$CJ$178:$CS$178</c:f>
              <c:numCache>
                <c:formatCode>General</c:formatCode>
                <c:ptCount val="10"/>
                <c:pt idx="0">
                  <c:v>1318.7842150437693</c:v>
                </c:pt>
                <c:pt idx="1">
                  <c:v>1367.0278339063952</c:v>
                </c:pt>
                <c:pt idx="2">
                  <c:v>2099.3932757744069</c:v>
                </c:pt>
                <c:pt idx="3">
                  <c:v>1512.4491254827158</c:v>
                </c:pt>
                <c:pt idx="4">
                  <c:v>2405.3127594091602</c:v>
                </c:pt>
                <c:pt idx="5">
                  <c:v>1600.5994351014631</c:v>
                </c:pt>
                <c:pt idx="6">
                  <c:v>1477.0625940290445</c:v>
                </c:pt>
                <c:pt idx="7">
                  <c:v>1874.0734524821546</c:v>
                </c:pt>
                <c:pt idx="8">
                  <c:v>1223.9989903945734</c:v>
                </c:pt>
                <c:pt idx="9">
                  <c:v>1755.9757377311564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C2-4531-B268-3CC8E288E3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1361543"/>
        <c:axId val="71363591"/>
      </c:lineChart>
      <c:catAx>
        <c:axId val="713615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1363591"/>
        <c:crosses val="autoZero"/>
        <c:auto val="1"/>
        <c:lblAlgn val="ctr"/>
        <c:lblOffset val="100"/>
        <c:noMultiLvlLbl val="0"/>
      </c:catAx>
      <c:valAx>
        <c:axId val="71363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13615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Faial!$CZ$168:$DI$168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Faial!$CZ$170:$DI$170</c:f>
              <c:numCache>
                <c:formatCode>General</c:formatCode>
                <c:ptCount val="10"/>
                <c:pt idx="0">
                  <c:v>10545.22033898305</c:v>
                </c:pt>
                <c:pt idx="1">
                  <c:v>9490.6983050847466</c:v>
                </c:pt>
                <c:pt idx="2">
                  <c:v>9490.6983050847466</c:v>
                </c:pt>
                <c:pt idx="3">
                  <c:v>10545.22033898305</c:v>
                </c:pt>
                <c:pt idx="4">
                  <c:v>12654.264406779663</c:v>
                </c:pt>
                <c:pt idx="5">
                  <c:v>13708.786440677966</c:v>
                </c:pt>
                <c:pt idx="6">
                  <c:v>13708.786440677966</c:v>
                </c:pt>
                <c:pt idx="7">
                  <c:v>12654.264406779663</c:v>
                </c:pt>
                <c:pt idx="8">
                  <c:v>15817.830508474577</c:v>
                </c:pt>
                <c:pt idx="9">
                  <c:v>15817.830508474577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52D-4E88-94B0-137663573320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Faial!$CZ$168:$DI$168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Faial!$CZ$178:$DI$178</c:f>
              <c:numCache>
                <c:formatCode>General</c:formatCode>
                <c:ptCount val="10"/>
                <c:pt idx="0">
                  <c:v>1445.4564816854472</c:v>
                </c:pt>
                <c:pt idx="1">
                  <c:v>1433.9671493753362</c:v>
                </c:pt>
                <c:pt idx="2">
                  <c:v>2039.9683117516311</c:v>
                </c:pt>
                <c:pt idx="3">
                  <c:v>1378.5684611569586</c:v>
                </c:pt>
                <c:pt idx="4">
                  <c:v>2090.7905289801224</c:v>
                </c:pt>
                <c:pt idx="5">
                  <c:v>1392.6498550221399</c:v>
                </c:pt>
                <c:pt idx="6">
                  <c:v>1363.0065423454325</c:v>
                </c:pt>
                <c:pt idx="7">
                  <c:v>2034.3349190624749</c:v>
                </c:pt>
                <c:pt idx="8">
                  <c:v>1428.3753092910526</c:v>
                </c:pt>
                <c:pt idx="9">
                  <c:v>2154.0157746627378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52D-4E88-94B0-1376635733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725191"/>
        <c:axId val="13744135"/>
      </c:lineChart>
      <c:catAx>
        <c:axId val="13725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3744135"/>
        <c:crosses val="autoZero"/>
        <c:auto val="1"/>
        <c:lblAlgn val="ctr"/>
        <c:lblOffset val="100"/>
        <c:noMultiLvlLbl val="0"/>
      </c:catAx>
      <c:valAx>
        <c:axId val="13744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37251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Consumo vs Produção de Energias Renováveis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'São Miguel'!$AX$21:$BI$21</c:f>
              <c:numCache>
                <c:formatCode>General</c:formatCode>
                <c:ptCount val="12"/>
                <c:pt idx="0">
                  <c:v>8671910</c:v>
                </c:pt>
                <c:pt idx="1">
                  <c:v>16710946</c:v>
                </c:pt>
                <c:pt idx="2">
                  <c:v>19702134</c:v>
                </c:pt>
                <c:pt idx="3">
                  <c:v>19185884</c:v>
                </c:pt>
                <c:pt idx="4">
                  <c:v>17557252</c:v>
                </c:pt>
                <c:pt idx="5">
                  <c:v>15986398</c:v>
                </c:pt>
                <c:pt idx="6">
                  <c:v>16963695</c:v>
                </c:pt>
                <c:pt idx="7">
                  <c:v>17697885</c:v>
                </c:pt>
                <c:pt idx="8">
                  <c:v>16093436</c:v>
                </c:pt>
                <c:pt idx="9">
                  <c:v>17330720</c:v>
                </c:pt>
                <c:pt idx="10">
                  <c:v>16071911</c:v>
                </c:pt>
                <c:pt idx="11">
                  <c:v>16751495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25-4AD9-BFDF-CB2C5FD3FD48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'São Miguel'!$AX$38:$BI$38</c:f>
              <c:numCache>
                <c:formatCode>General</c:formatCode>
                <c:ptCount val="12"/>
                <c:pt idx="0">
                  <c:v>34328910</c:v>
                </c:pt>
                <c:pt idx="1">
                  <c:v>32859333</c:v>
                </c:pt>
                <c:pt idx="2">
                  <c:v>35438418</c:v>
                </c:pt>
                <c:pt idx="3">
                  <c:v>33848861</c:v>
                </c:pt>
                <c:pt idx="4">
                  <c:v>16104756</c:v>
                </c:pt>
                <c:pt idx="5">
                  <c:v>53649730</c:v>
                </c:pt>
                <c:pt idx="6">
                  <c:v>36644135</c:v>
                </c:pt>
                <c:pt idx="7">
                  <c:v>38225662</c:v>
                </c:pt>
                <c:pt idx="8">
                  <c:v>38863032</c:v>
                </c:pt>
                <c:pt idx="9">
                  <c:v>37224817</c:v>
                </c:pt>
                <c:pt idx="10">
                  <c:v>34612341</c:v>
                </c:pt>
                <c:pt idx="11">
                  <c:v>32646974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425-4AD9-BFDF-CB2C5FD3FD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67762696"/>
        <c:axId val="1067764744"/>
      </c:lineChart>
      <c:catAx>
        <c:axId val="1067762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67764744"/>
        <c:crosses val="autoZero"/>
        <c:auto val="1"/>
        <c:lblAlgn val="ctr"/>
        <c:lblOffset val="100"/>
        <c:noMultiLvlLbl val="0"/>
      </c:catAx>
      <c:valAx>
        <c:axId val="10677647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67762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Faial!$DN$168:$DW$168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Faial!$DN$170:$DW$170</c:f>
              <c:numCache>
                <c:formatCode>General</c:formatCode>
                <c:ptCount val="10"/>
                <c:pt idx="0">
                  <c:v>11083.411708482676</c:v>
                </c:pt>
                <c:pt idx="1">
                  <c:v>9378.2714456391877</c:v>
                </c:pt>
                <c:pt idx="2">
                  <c:v>8525.7013142174437</c:v>
                </c:pt>
                <c:pt idx="3">
                  <c:v>9378.2714456391877</c:v>
                </c:pt>
                <c:pt idx="4">
                  <c:v>11083.411708482676</c:v>
                </c:pt>
                <c:pt idx="5">
                  <c:v>11509.69677419355</c:v>
                </c:pt>
                <c:pt idx="6">
                  <c:v>11509.69677419355</c:v>
                </c:pt>
                <c:pt idx="7">
                  <c:v>11935.98183990442</c:v>
                </c:pt>
                <c:pt idx="8">
                  <c:v>15346.262365591398</c:v>
                </c:pt>
                <c:pt idx="9">
                  <c:v>15346.262365591398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4D-41E4-933D-8BC96894F4F8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Faial!$DN$168:$DW$168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Faial!$DN$178:$DW$178</c:f>
              <c:numCache>
                <c:formatCode>General</c:formatCode>
                <c:ptCount val="10"/>
                <c:pt idx="0">
                  <c:v>1852.3445674444654</c:v>
                </c:pt>
                <c:pt idx="1">
                  <c:v>1839.4688459219346</c:v>
                </c:pt>
                <c:pt idx="2">
                  <c:v>2618.3531589216295</c:v>
                </c:pt>
                <c:pt idx="3">
                  <c:v>1770.2959210895808</c:v>
                </c:pt>
                <c:pt idx="4">
                  <c:v>2681.1110752099703</c:v>
                </c:pt>
                <c:pt idx="5">
                  <c:v>1785.9073125367977</c:v>
                </c:pt>
                <c:pt idx="6">
                  <c:v>1747.2594544843587</c:v>
                </c:pt>
                <c:pt idx="7">
                  <c:v>2608.3690379418276</c:v>
                </c:pt>
                <c:pt idx="8">
                  <c:v>1832.2915709634692</c:v>
                </c:pt>
                <c:pt idx="9">
                  <c:v>2759.5667974214434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D4D-41E4-933D-8BC96894F4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3187463"/>
        <c:axId val="183189511"/>
      </c:lineChart>
      <c:catAx>
        <c:axId val="1831874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3189511"/>
        <c:crosses val="autoZero"/>
        <c:auto val="1"/>
        <c:lblAlgn val="ctr"/>
        <c:lblOffset val="100"/>
        <c:noMultiLvlLbl val="0"/>
      </c:catAx>
      <c:valAx>
        <c:axId val="1831895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31874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Faial!$BP$50:$BY$50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Faial!$BP$54:$BY$54</c:f>
              <c:numCache>
                <c:formatCode>General</c:formatCode>
                <c:ptCount val="10"/>
                <c:pt idx="0">
                  <c:v>1041.667069066456</c:v>
                </c:pt>
                <c:pt idx="1">
                  <c:v>1080.010475416371</c:v>
                </c:pt>
                <c:pt idx="2">
                  <c:v>1624.6174419060042</c:v>
                </c:pt>
                <c:pt idx="3">
                  <c:v>1102.5281916664094</c:v>
                </c:pt>
                <c:pt idx="4">
                  <c:v>1821.6223213616645</c:v>
                </c:pt>
                <c:pt idx="5">
                  <c:v>1259.5784674630934</c:v>
                </c:pt>
                <c:pt idx="6">
                  <c:v>1167.9874944323874</c:v>
                </c:pt>
                <c:pt idx="7">
                  <c:v>1617.8982076669349</c:v>
                </c:pt>
                <c:pt idx="8">
                  <c:v>1073.849599861926</c:v>
                </c:pt>
                <c:pt idx="9">
                  <c:v>1599.3375053523027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76C-41E5-9A30-581BABED37A2}"/>
            </c:ext>
          </c:extLst>
        </c:ser>
        <c:ser>
          <c:idx val="2"/>
          <c:order val="1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Faial!$BP$50:$BY$50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Faial!$BP$56:$BY$56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7.6584972764876622E-2</c:v>
                </c:pt>
                <c:pt idx="4">
                  <c:v>1.9990046375521544</c:v>
                </c:pt>
                <c:pt idx="5">
                  <c:v>1.8966833310621418</c:v>
                </c:pt>
                <c:pt idx="6">
                  <c:v>1.4385905276710285</c:v>
                </c:pt>
                <c:pt idx="7">
                  <c:v>0.46010427288528355</c:v>
                </c:pt>
                <c:pt idx="8">
                  <c:v>0</c:v>
                </c:pt>
                <c:pt idx="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76C-41E5-9A30-581BABED37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3213063"/>
        <c:axId val="393218567"/>
      </c:lineChart>
      <c:catAx>
        <c:axId val="183213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93218567"/>
        <c:crosses val="autoZero"/>
        <c:auto val="1"/>
        <c:lblAlgn val="ctr"/>
        <c:lblOffset val="100"/>
        <c:noMultiLvlLbl val="0"/>
      </c:catAx>
      <c:valAx>
        <c:axId val="393218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32130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Faial!$CJ$54:$CS$54</c:f>
              <c:numCache>
                <c:formatCode>General</c:formatCode>
                <c:ptCount val="10"/>
                <c:pt idx="0">
                  <c:v>940.91480326484577</c:v>
                </c:pt>
                <c:pt idx="1">
                  <c:v>886.86248470616385</c:v>
                </c:pt>
                <c:pt idx="2">
                  <c:v>1342.6813376415794</c:v>
                </c:pt>
                <c:pt idx="3">
                  <c:v>802.0297029980353</c:v>
                </c:pt>
                <c:pt idx="4">
                  <c:v>1293.901588933287</c:v>
                </c:pt>
                <c:pt idx="5">
                  <c:v>893.52127503120425</c:v>
                </c:pt>
                <c:pt idx="6">
                  <c:v>905.62886683771524</c:v>
                </c:pt>
                <c:pt idx="7">
                  <c:v>1294.5592471925929</c:v>
                </c:pt>
                <c:pt idx="8">
                  <c:v>905.40022792435434</c:v>
                </c:pt>
                <c:pt idx="9">
                  <c:v>1427.7504654702207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981-438C-B463-3877AF2EE732}"/>
            </c:ext>
          </c:extLst>
        </c:ser>
        <c:ser>
          <c:idx val="2"/>
          <c:order val="1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Faial!$CJ$56:$CS$56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0.31991662183980013</c:v>
                </c:pt>
                <c:pt idx="4">
                  <c:v>4.5541831530721124</c:v>
                </c:pt>
                <c:pt idx="5">
                  <c:v>3.8632620188788986</c:v>
                </c:pt>
                <c:pt idx="6">
                  <c:v>3.6186918808571642</c:v>
                </c:pt>
                <c:pt idx="7">
                  <c:v>1.7509933415531658</c:v>
                </c:pt>
                <c:pt idx="8">
                  <c:v>9.5840941716126795E-5</c:v>
                </c:pt>
                <c:pt idx="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B981-438C-B463-3877AF2EE732}"/>
            </c:ext>
          </c:extLst>
        </c:ser>
        <c:ser>
          <c:idx val="3"/>
          <c:order val="2"/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Faial!$CJ$57:$CS$57</c:f>
              <c:numCache>
                <c:formatCode>General</c:formatCode>
                <c:ptCount val="10"/>
                <c:pt idx="0">
                  <c:v>28.007142857142856</c:v>
                </c:pt>
                <c:pt idx="1">
                  <c:v>28.007142857142856</c:v>
                </c:pt>
                <c:pt idx="2">
                  <c:v>28.007142857142856</c:v>
                </c:pt>
                <c:pt idx="3">
                  <c:v>28.007142857142856</c:v>
                </c:pt>
                <c:pt idx="4">
                  <c:v>28.007142857142856</c:v>
                </c:pt>
                <c:pt idx="5">
                  <c:v>28.007142857142856</c:v>
                </c:pt>
                <c:pt idx="6">
                  <c:v>28.007142857142856</c:v>
                </c:pt>
                <c:pt idx="7">
                  <c:v>28.007142857142856</c:v>
                </c:pt>
                <c:pt idx="8">
                  <c:v>28.007142857142856</c:v>
                </c:pt>
                <c:pt idx="9">
                  <c:v>28.007142857142856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B981-438C-B463-3877AF2EE7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93262599"/>
        <c:axId val="393264647"/>
      </c:lineChart>
      <c:catAx>
        <c:axId val="39326259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93264647"/>
        <c:crosses val="autoZero"/>
        <c:auto val="1"/>
        <c:lblAlgn val="ctr"/>
        <c:lblOffset val="100"/>
        <c:noMultiLvlLbl val="0"/>
      </c:catAx>
      <c:valAx>
        <c:axId val="3932646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932625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Faial!$CZ$50:$DI$50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Faial!$CZ$54:$DI$54</c:f>
              <c:numCache>
                <c:formatCode>General</c:formatCode>
                <c:ptCount val="10"/>
                <c:pt idx="0">
                  <c:v>1422.7864014120264</c:v>
                </c:pt>
                <c:pt idx="1">
                  <c:v>1424.523713769358</c:v>
                </c:pt>
                <c:pt idx="2">
                  <c:v>2210.2056850473546</c:v>
                </c:pt>
                <c:pt idx="3">
                  <c:v>1617.8508994645993</c:v>
                </c:pt>
                <c:pt idx="4">
                  <c:v>2567.0173216421699</c:v>
                </c:pt>
                <c:pt idx="5">
                  <c:v>1729.7701892629352</c:v>
                </c:pt>
                <c:pt idx="6">
                  <c:v>1753.0106555528216</c:v>
                </c:pt>
                <c:pt idx="7">
                  <c:v>2530.3434081620308</c:v>
                </c:pt>
                <c:pt idx="8">
                  <c:v>1626.3928851402241</c:v>
                </c:pt>
                <c:pt idx="9">
                  <c:v>2181.3569050626061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AA9-4E18-8B63-04A34AFE5933}"/>
            </c:ext>
          </c:extLst>
        </c:ser>
        <c:ser>
          <c:idx val="2"/>
          <c:order val="1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Faial!$CZ$50:$DI$50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Faial!$CZ$56:$DI$56</c:f>
              <c:numCache>
                <c:formatCode>General</c:formatCode>
                <c:ptCount val="10"/>
                <c:pt idx="0">
                  <c:v>1.4806622380637577</c:v>
                </c:pt>
                <c:pt idx="1">
                  <c:v>1.4824702204852014</c:v>
                </c:pt>
                <c:pt idx="2">
                  <c:v>2.3001120146746112</c:v>
                </c:pt>
                <c:pt idx="3">
                  <c:v>1.6836615329450313</c:v>
                </c:pt>
                <c:pt idx="4">
                  <c:v>2.6714379676661144</c:v>
                </c:pt>
                <c:pt idx="5">
                  <c:v>1.8001334544863457</c:v>
                </c:pt>
                <c:pt idx="6">
                  <c:v>1.824319292076779</c:v>
                </c:pt>
                <c:pt idx="7">
                  <c:v>2.6332722396565069</c:v>
                </c:pt>
                <c:pt idx="8">
                  <c:v>1.6925509879014653</c:v>
                </c:pt>
                <c:pt idx="9">
                  <c:v>2.2700897294635394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AA9-4E18-8B63-04A34AFE5933}"/>
            </c:ext>
          </c:extLst>
        </c:ser>
        <c:ser>
          <c:idx val="3"/>
          <c:order val="2"/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Faial!$CZ$50:$DI$50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Faial!$CZ$57:$DI$57</c:f>
              <c:numCache>
                <c:formatCode>General</c:formatCode>
                <c:ptCount val="10"/>
                <c:pt idx="0">
                  <c:v>164.27096774193549</c:v>
                </c:pt>
                <c:pt idx="1">
                  <c:v>164.27096774193549</c:v>
                </c:pt>
                <c:pt idx="2">
                  <c:v>164.27096774193549</c:v>
                </c:pt>
                <c:pt idx="3">
                  <c:v>164.27096774193549</c:v>
                </c:pt>
                <c:pt idx="4">
                  <c:v>164.27096774193549</c:v>
                </c:pt>
                <c:pt idx="5">
                  <c:v>164.27096774193549</c:v>
                </c:pt>
                <c:pt idx="6">
                  <c:v>164.27096774193549</c:v>
                </c:pt>
                <c:pt idx="7">
                  <c:v>164.27096774193549</c:v>
                </c:pt>
                <c:pt idx="8">
                  <c:v>164.27096774193549</c:v>
                </c:pt>
                <c:pt idx="9">
                  <c:v>164.27096774193549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4AA9-4E18-8B63-04A34AFE59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3108999"/>
        <c:axId val="759237639"/>
      </c:lineChart>
      <c:catAx>
        <c:axId val="731089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59237639"/>
        <c:crosses val="autoZero"/>
        <c:auto val="1"/>
        <c:lblAlgn val="ctr"/>
        <c:lblOffset val="100"/>
        <c:noMultiLvlLbl val="0"/>
      </c:catAx>
      <c:valAx>
        <c:axId val="7592376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31089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Faial!$DN$54:$DW$54</c:f>
              <c:numCache>
                <c:formatCode>General</c:formatCode>
                <c:ptCount val="10"/>
                <c:pt idx="0">
                  <c:v>3.5780884084251476</c:v>
                </c:pt>
                <c:pt idx="1">
                  <c:v>3.7049082825890114</c:v>
                </c:pt>
                <c:pt idx="2">
                  <c:v>5.4403272962219535</c:v>
                </c:pt>
                <c:pt idx="3">
                  <c:v>3.6094094863642892</c:v>
                </c:pt>
                <c:pt idx="4">
                  <c:v>5.7557768651696284</c:v>
                </c:pt>
                <c:pt idx="5">
                  <c:v>3.8662796844075444</c:v>
                </c:pt>
                <c:pt idx="6">
                  <c:v>3.8000774410876592</c:v>
                </c:pt>
                <c:pt idx="7">
                  <c:v>5.4548450910744668</c:v>
                </c:pt>
                <c:pt idx="8">
                  <c:v>3.598050719719986</c:v>
                </c:pt>
                <c:pt idx="9">
                  <c:v>5.0922367249403138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2D6-4B6C-AD23-2A6386EC0489}"/>
            </c:ext>
          </c:extLst>
        </c:ser>
        <c:ser>
          <c:idx val="2"/>
          <c:order val="1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Faial!$DN$56:$DW$56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0.16915883214760177</c:v>
                </c:pt>
                <c:pt idx="3">
                  <c:v>3.8933707115309204</c:v>
                </c:pt>
                <c:pt idx="4">
                  <c:v>13.573157596929438</c:v>
                </c:pt>
                <c:pt idx="5">
                  <c:v>10.362324398820615</c:v>
                </c:pt>
                <c:pt idx="6">
                  <c:v>9.3159083021288644</c:v>
                </c:pt>
                <c:pt idx="7">
                  <c:v>6.4609228707652946</c:v>
                </c:pt>
                <c:pt idx="8">
                  <c:v>0.12515728767726073</c:v>
                </c:pt>
                <c:pt idx="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2D6-4B6C-AD23-2A6386EC0489}"/>
            </c:ext>
          </c:extLst>
        </c:ser>
        <c:ser>
          <c:idx val="3"/>
          <c:order val="2"/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Faial!$DN$57:$DW$57</c:f>
              <c:numCache>
                <c:formatCode>General</c:formatCode>
                <c:ptCount val="10"/>
                <c:pt idx="0">
                  <c:v>140.00333333333333</c:v>
                </c:pt>
                <c:pt idx="1">
                  <c:v>140.00333333333333</c:v>
                </c:pt>
                <c:pt idx="2">
                  <c:v>140.00333333333333</c:v>
                </c:pt>
                <c:pt idx="3">
                  <c:v>140.00333333333333</c:v>
                </c:pt>
                <c:pt idx="4">
                  <c:v>140.00333333333333</c:v>
                </c:pt>
                <c:pt idx="5">
                  <c:v>140.00333333333333</c:v>
                </c:pt>
                <c:pt idx="6">
                  <c:v>140.00333333333333</c:v>
                </c:pt>
                <c:pt idx="7">
                  <c:v>140.00333333333333</c:v>
                </c:pt>
                <c:pt idx="8">
                  <c:v>140.00333333333333</c:v>
                </c:pt>
                <c:pt idx="9">
                  <c:v>140.00333333333333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02D6-4B6C-AD23-2A6386EC04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1816071"/>
        <c:axId val="41818119"/>
      </c:lineChart>
      <c:catAx>
        <c:axId val="41816071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1818119"/>
        <c:crosses val="autoZero"/>
        <c:auto val="1"/>
        <c:lblAlgn val="ctr"/>
        <c:lblOffset val="100"/>
        <c:noMultiLvlLbl val="0"/>
      </c:catAx>
      <c:valAx>
        <c:axId val="418181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18160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Faial!$BP$109:$BY$109</c:f>
              <c:numCache>
                <c:formatCode>General</c:formatCode>
                <c:ptCount val="10"/>
                <c:pt idx="0">
                  <c:v>1299.0387176258228</c:v>
                </c:pt>
                <c:pt idx="1">
                  <c:v>1240.4660361938977</c:v>
                </c:pt>
                <c:pt idx="2">
                  <c:v>1974.5318769214514</c:v>
                </c:pt>
                <c:pt idx="3">
                  <c:v>1377.4029534575423</c:v>
                </c:pt>
                <c:pt idx="4">
                  <c:v>2117.4662349450614</c:v>
                </c:pt>
                <c:pt idx="5">
                  <c:v>1473.3759550716793</c:v>
                </c:pt>
                <c:pt idx="6">
                  <c:v>1430.2571446697978</c:v>
                </c:pt>
                <c:pt idx="7">
                  <c:v>2087.8695618295851</c:v>
                </c:pt>
                <c:pt idx="8">
                  <c:v>1329.0050003062784</c:v>
                </c:pt>
                <c:pt idx="9">
                  <c:v>1918.9090996240432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CF0-4E1C-810F-04D2189EB6F0}"/>
            </c:ext>
          </c:extLst>
        </c:ser>
        <c:ser>
          <c:idx val="2"/>
          <c:order val="1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Faial!$BP$111:$BY$111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0.8805294916432993</c:v>
                </c:pt>
                <c:pt idx="3">
                  <c:v>6.4935045567304508</c:v>
                </c:pt>
                <c:pt idx="4">
                  <c:v>15.16617777026762</c:v>
                </c:pt>
                <c:pt idx="5">
                  <c:v>10.545465188506908</c:v>
                </c:pt>
                <c:pt idx="6">
                  <c:v>10.162467616412025</c:v>
                </c:pt>
                <c:pt idx="7">
                  <c:v>8.3972163068628998</c:v>
                </c:pt>
                <c:pt idx="8">
                  <c:v>0.41915519860906214</c:v>
                </c:pt>
                <c:pt idx="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CCF0-4E1C-810F-04D2189EB6F0}"/>
            </c:ext>
          </c:extLst>
        </c:ser>
        <c:ser>
          <c:idx val="3"/>
          <c:order val="2"/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Faial!$BP$112:$BY$112</c:f>
              <c:numCache>
                <c:formatCode>General</c:formatCode>
                <c:ptCount val="10"/>
                <c:pt idx="0">
                  <c:v>72.50322580645161</c:v>
                </c:pt>
                <c:pt idx="1">
                  <c:v>72.50322580645161</c:v>
                </c:pt>
                <c:pt idx="2">
                  <c:v>72.50322580645161</c:v>
                </c:pt>
                <c:pt idx="3">
                  <c:v>72.50322580645161</c:v>
                </c:pt>
                <c:pt idx="4">
                  <c:v>72.50322580645161</c:v>
                </c:pt>
                <c:pt idx="5">
                  <c:v>72.50322580645161</c:v>
                </c:pt>
                <c:pt idx="6">
                  <c:v>72.50322580645161</c:v>
                </c:pt>
                <c:pt idx="7">
                  <c:v>72.50322580645161</c:v>
                </c:pt>
                <c:pt idx="8">
                  <c:v>72.50322580645161</c:v>
                </c:pt>
                <c:pt idx="9">
                  <c:v>72.50322580645161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CCF0-4E1C-810F-04D2189EB6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14016519"/>
        <c:axId val="214018567"/>
      </c:lineChart>
      <c:catAx>
        <c:axId val="21401651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14018567"/>
        <c:crosses val="autoZero"/>
        <c:auto val="1"/>
        <c:lblAlgn val="ctr"/>
        <c:lblOffset val="100"/>
        <c:noMultiLvlLbl val="0"/>
      </c:catAx>
      <c:valAx>
        <c:axId val="214018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14016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Faial!$CJ$105:$CS$105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Faial!$CJ$109:$CS$109</c:f>
              <c:numCache>
                <c:formatCode>General</c:formatCode>
                <c:ptCount val="10"/>
                <c:pt idx="0">
                  <c:v>1203.0160729784918</c:v>
                </c:pt>
                <c:pt idx="1">
                  <c:v>1238.5111496076643</c:v>
                </c:pt>
                <c:pt idx="2">
                  <c:v>1977.7257714215489</c:v>
                </c:pt>
                <c:pt idx="3">
                  <c:v>1411.6995597128175</c:v>
                </c:pt>
                <c:pt idx="4">
                  <c:v>2159.8989349165017</c:v>
                </c:pt>
                <c:pt idx="5">
                  <c:v>1427.9927076372405</c:v>
                </c:pt>
                <c:pt idx="6">
                  <c:v>1469.6565198164892</c:v>
                </c:pt>
                <c:pt idx="7">
                  <c:v>2092.3410104604554</c:v>
                </c:pt>
                <c:pt idx="8">
                  <c:v>1288.9675633711786</c:v>
                </c:pt>
                <c:pt idx="9">
                  <c:v>1832.7240434109447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69-443B-A342-811E2828C592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Faial!$CJ$105:$CS$105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Faial!$CJ$111:$CS$111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0.84354766074422383</c:v>
                </c:pt>
                <c:pt idx="3">
                  <c:v>6.6534564069623334</c:v>
                </c:pt>
                <c:pt idx="4">
                  <c:v>16.162289417741864</c:v>
                </c:pt>
                <c:pt idx="5">
                  <c:v>11.553920921600264</c:v>
                </c:pt>
                <c:pt idx="6">
                  <c:v>10.418675292817063</c:v>
                </c:pt>
                <c:pt idx="7">
                  <c:v>8.3288224560999407</c:v>
                </c:pt>
                <c:pt idx="8">
                  <c:v>0.5059545107009753</c:v>
                </c:pt>
                <c:pt idx="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B69-443B-A342-811E2828C592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Faial!$CJ$105:$CS$105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Faial!$CJ$112:$CS$112</c:f>
              <c:numCache>
                <c:formatCode>General</c:formatCode>
                <c:ptCount val="10"/>
                <c:pt idx="0">
                  <c:v>5.9399999999999995</c:v>
                </c:pt>
                <c:pt idx="1">
                  <c:v>5.9399999999999995</c:v>
                </c:pt>
                <c:pt idx="2">
                  <c:v>5.9399999999999995</c:v>
                </c:pt>
                <c:pt idx="3">
                  <c:v>5.9399999999999995</c:v>
                </c:pt>
                <c:pt idx="4">
                  <c:v>5.9399999999999995</c:v>
                </c:pt>
                <c:pt idx="5">
                  <c:v>5.9399999999999995</c:v>
                </c:pt>
                <c:pt idx="6">
                  <c:v>5.9399999999999995</c:v>
                </c:pt>
                <c:pt idx="7">
                  <c:v>5.9399999999999995</c:v>
                </c:pt>
                <c:pt idx="8">
                  <c:v>5.9399999999999995</c:v>
                </c:pt>
                <c:pt idx="9">
                  <c:v>5.9399999999999995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B69-443B-A342-811E2828C5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41455111"/>
        <c:axId val="241457159"/>
      </c:lineChart>
      <c:catAx>
        <c:axId val="2414551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41457159"/>
        <c:crosses val="autoZero"/>
        <c:auto val="1"/>
        <c:lblAlgn val="ctr"/>
        <c:lblOffset val="100"/>
        <c:noMultiLvlLbl val="0"/>
      </c:catAx>
      <c:valAx>
        <c:axId val="2414571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414551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Faial!$CZ$105:$DI$105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Faial!$CZ$109:$DI$109</c:f>
              <c:numCache>
                <c:formatCode>General</c:formatCode>
                <c:ptCount val="10"/>
                <c:pt idx="0">
                  <c:v>535.17153026540916</c:v>
                </c:pt>
                <c:pt idx="1">
                  <c:v>527.8933224334678</c:v>
                </c:pt>
                <c:pt idx="2">
                  <c:v>808.83397723733538</c:v>
                </c:pt>
                <c:pt idx="3">
                  <c:v>582.47757771546389</c:v>
                </c:pt>
                <c:pt idx="4">
                  <c:v>944.72607718578843</c:v>
                </c:pt>
                <c:pt idx="5">
                  <c:v>661.83351865679867</c:v>
                </c:pt>
                <c:pt idx="6">
                  <c:v>657.8836753542721</c:v>
                </c:pt>
                <c:pt idx="7">
                  <c:v>891.43541864967665</c:v>
                </c:pt>
                <c:pt idx="8">
                  <c:v>543.93207993479257</c:v>
                </c:pt>
                <c:pt idx="9">
                  <c:v>833.81282256699478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FD-4B80-8DC3-E0CE11AF666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Faial!$CZ$105:$DI$105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Faial!$CZ$111:$DI$111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1.5117848767625532</c:v>
                </c:pt>
                <c:pt idx="3">
                  <c:v>16.551844450835116</c:v>
                </c:pt>
                <c:pt idx="4">
                  <c:v>36.300140618360324</c:v>
                </c:pt>
                <c:pt idx="5">
                  <c:v>24.851860517325953</c:v>
                </c:pt>
                <c:pt idx="6">
                  <c:v>25.804291184760089</c:v>
                </c:pt>
                <c:pt idx="7">
                  <c:v>22.655087550764787</c:v>
                </c:pt>
                <c:pt idx="8">
                  <c:v>1.454023059255688</c:v>
                </c:pt>
                <c:pt idx="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EFD-4B80-8DC3-E0CE11AF6669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Faial!$CZ$105:$DI$105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Faial!$CZ$112:$DI$112</c:f>
              <c:numCache>
                <c:formatCode>General</c:formatCode>
                <c:ptCount val="10"/>
                <c:pt idx="0">
                  <c:v>3.9935483870967743</c:v>
                </c:pt>
                <c:pt idx="1">
                  <c:v>3.9935483870967743</c:v>
                </c:pt>
                <c:pt idx="2">
                  <c:v>3.9935483870967743</c:v>
                </c:pt>
                <c:pt idx="3">
                  <c:v>3.9935483870967743</c:v>
                </c:pt>
                <c:pt idx="4">
                  <c:v>3.9935483870967743</c:v>
                </c:pt>
                <c:pt idx="5">
                  <c:v>3.9935483870967743</c:v>
                </c:pt>
                <c:pt idx="6">
                  <c:v>3.9935483870967743</c:v>
                </c:pt>
                <c:pt idx="7">
                  <c:v>3.9935483870967743</c:v>
                </c:pt>
                <c:pt idx="8">
                  <c:v>3.9935483870967743</c:v>
                </c:pt>
                <c:pt idx="9">
                  <c:v>3.9935483870967743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EFD-4B80-8DC3-E0CE11AF66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7040263"/>
        <c:axId val="27025415"/>
      </c:lineChart>
      <c:catAx>
        <c:axId val="270402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7025415"/>
        <c:crosses val="autoZero"/>
        <c:auto val="1"/>
        <c:lblAlgn val="ctr"/>
        <c:lblOffset val="100"/>
        <c:noMultiLvlLbl val="0"/>
      </c:catAx>
      <c:valAx>
        <c:axId val="270254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70402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Faial!$DN$105:$DW$105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Faial!$DN$109:$DW$109</c:f>
              <c:numCache>
                <c:formatCode>General</c:formatCode>
                <c:ptCount val="10"/>
                <c:pt idx="0">
                  <c:v>419.08522449463351</c:v>
                </c:pt>
                <c:pt idx="1">
                  <c:v>445.84829846095602</c:v>
                </c:pt>
                <c:pt idx="2">
                  <c:v>675.68636307488543</c:v>
                </c:pt>
                <c:pt idx="3">
                  <c:v>455.21561690013829</c:v>
                </c:pt>
                <c:pt idx="4">
                  <c:v>776.57139629093626</c:v>
                </c:pt>
                <c:pt idx="5">
                  <c:v>536.69253004605548</c:v>
                </c:pt>
                <c:pt idx="6">
                  <c:v>508.00845240188926</c:v>
                </c:pt>
                <c:pt idx="7">
                  <c:v>679.9876002660169</c:v>
                </c:pt>
                <c:pt idx="8">
                  <c:v>404.34459357946247</c:v>
                </c:pt>
                <c:pt idx="9">
                  <c:v>581.36637609793002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C8-49B0-82A5-CE2C83ACE9C3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Faial!$DN$105:$DW$105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Faial!$DN$111:$DW$111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1.0798507891206788</c:v>
                </c:pt>
                <c:pt idx="3">
                  <c:v>16.836649940748224</c:v>
                </c:pt>
                <c:pt idx="4">
                  <c:v>34.341320912419803</c:v>
                </c:pt>
                <c:pt idx="5">
                  <c:v>24.758408342479989</c:v>
                </c:pt>
                <c:pt idx="6">
                  <c:v>23.167047182985318</c:v>
                </c:pt>
                <c:pt idx="7">
                  <c:v>21.411856029946311</c:v>
                </c:pt>
                <c:pt idx="8">
                  <c:v>0.69518938294482113</c:v>
                </c:pt>
                <c:pt idx="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4C8-49B0-82A5-CE2C83ACE9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89353735"/>
        <c:axId val="1889355783"/>
      </c:lineChart>
      <c:catAx>
        <c:axId val="18893537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89355783"/>
        <c:crosses val="autoZero"/>
        <c:auto val="1"/>
        <c:lblAlgn val="ctr"/>
        <c:lblOffset val="100"/>
        <c:noMultiLvlLbl val="0"/>
      </c:catAx>
      <c:valAx>
        <c:axId val="18893557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893537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Faial!$BP$168:$BY$168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Faial!$BP$172:$BY$172</c:f>
              <c:numCache>
                <c:formatCode>General</c:formatCode>
                <c:ptCount val="10"/>
                <c:pt idx="0">
                  <c:v>1114.9991106244713</c:v>
                </c:pt>
                <c:pt idx="1">
                  <c:v>1119.8464169500971</c:v>
                </c:pt>
                <c:pt idx="2">
                  <c:v>1659.5981512323781</c:v>
                </c:pt>
                <c:pt idx="3">
                  <c:v>1149.2631501478827</c:v>
                </c:pt>
                <c:pt idx="4">
                  <c:v>1737.1418684723296</c:v>
                </c:pt>
                <c:pt idx="5">
                  <c:v>1156.4319338683513</c:v>
                </c:pt>
                <c:pt idx="6">
                  <c:v>1154.3774318672361</c:v>
                </c:pt>
                <c:pt idx="7">
                  <c:v>1682.6700988384846</c:v>
                </c:pt>
                <c:pt idx="8">
                  <c:v>1120.4287089611082</c:v>
                </c:pt>
                <c:pt idx="9">
                  <c:v>1675.2431290376619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295-494B-A917-2D9CC6CB4624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Faial!$BP$168:$BY$168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Faial!$BP$174:$BY$174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0.17081489982684961</c:v>
                </c:pt>
                <c:pt idx="3">
                  <c:v>10.001836179787553</c:v>
                </c:pt>
                <c:pt idx="4">
                  <c:v>33.451037213135002</c:v>
                </c:pt>
                <c:pt idx="5">
                  <c:v>24.027309631889249</c:v>
                </c:pt>
                <c:pt idx="6">
                  <c:v>19.2243393862943</c:v>
                </c:pt>
                <c:pt idx="7">
                  <c:v>12.198906177798037</c:v>
                </c:pt>
                <c:pt idx="8">
                  <c:v>5.9089844602336843E-2</c:v>
                </c:pt>
                <c:pt idx="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295-494B-A917-2D9CC6CB4624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Faial!$BP$168:$BY$168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Faial!$BP$175:$BY$175</c:f>
              <c:numCache>
                <c:formatCode>General</c:formatCode>
                <c:ptCount val="10"/>
                <c:pt idx="0">
                  <c:v>9.1466666666666665</c:v>
                </c:pt>
                <c:pt idx="1">
                  <c:v>9.1466666666666665</c:v>
                </c:pt>
                <c:pt idx="2">
                  <c:v>9.1466666666666665</c:v>
                </c:pt>
                <c:pt idx="3">
                  <c:v>9.1466666666666665</c:v>
                </c:pt>
                <c:pt idx="4">
                  <c:v>9.1466666666666665</c:v>
                </c:pt>
                <c:pt idx="5">
                  <c:v>9.1466666666666665</c:v>
                </c:pt>
                <c:pt idx="6">
                  <c:v>9.1466666666666665</c:v>
                </c:pt>
                <c:pt idx="7">
                  <c:v>9.1466666666666665</c:v>
                </c:pt>
                <c:pt idx="8">
                  <c:v>9.1466666666666665</c:v>
                </c:pt>
                <c:pt idx="9">
                  <c:v>9.1466666666666665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2295-494B-A917-2D9CC6CB46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89361415"/>
        <c:axId val="36713991"/>
      </c:lineChart>
      <c:catAx>
        <c:axId val="18893614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6713991"/>
        <c:crosses val="autoZero"/>
        <c:auto val="1"/>
        <c:lblAlgn val="ctr"/>
        <c:lblOffset val="100"/>
        <c:noMultiLvlLbl val="0"/>
      </c:catAx>
      <c:valAx>
        <c:axId val="36713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893614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consumo vs porduçao de energia por renovaveis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Consumo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Miguel'!$CL$83:$CU$83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Miguel'!$CL$85:$CU$85</c:f>
              <c:numCache>
                <c:formatCode>General</c:formatCode>
                <c:ptCount val="10"/>
                <c:pt idx="0">
                  <c:v>84775.82342954159</c:v>
                </c:pt>
                <c:pt idx="1">
                  <c:v>74178.845500848896</c:v>
                </c:pt>
                <c:pt idx="2">
                  <c:v>74178.845500848896</c:v>
                </c:pt>
                <c:pt idx="3">
                  <c:v>90074.312393887943</c:v>
                </c:pt>
                <c:pt idx="4">
                  <c:v>123984.64176570458</c:v>
                </c:pt>
                <c:pt idx="5">
                  <c:v>132462.22410865876</c:v>
                </c:pt>
                <c:pt idx="6">
                  <c:v>127163.73514431241</c:v>
                </c:pt>
                <c:pt idx="7">
                  <c:v>123984.64176570458</c:v>
                </c:pt>
                <c:pt idx="8">
                  <c:v>153656.17996604415</c:v>
                </c:pt>
                <c:pt idx="9">
                  <c:v>122924.94397283532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06C-4DEB-B0A1-1AD351A8AE27}"/>
            </c:ext>
          </c:extLst>
        </c:ser>
        <c:ser>
          <c:idx val="1"/>
          <c:order val="1"/>
          <c:tx>
            <c:v>Energia - fontes renovaveis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Miguel'!$CL$83:$CU$83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Miguel'!$CL$93:$CU$93</c:f>
              <c:numCache>
                <c:formatCode>General</c:formatCode>
                <c:ptCount val="10"/>
                <c:pt idx="0">
                  <c:v>28063.735361307979</c:v>
                </c:pt>
                <c:pt idx="1">
                  <c:v>29703.294765666571</c:v>
                </c:pt>
                <c:pt idx="2">
                  <c:v>27825.360163369827</c:v>
                </c:pt>
                <c:pt idx="3">
                  <c:v>27412.654073272541</c:v>
                </c:pt>
                <c:pt idx="4">
                  <c:v>27122.382186085713</c:v>
                </c:pt>
                <c:pt idx="5">
                  <c:v>29004.081819146842</c:v>
                </c:pt>
                <c:pt idx="6">
                  <c:v>29148.920584187195</c:v>
                </c:pt>
                <c:pt idx="7">
                  <c:v>28198.352055797553</c:v>
                </c:pt>
                <c:pt idx="8">
                  <c:v>25829.547247385806</c:v>
                </c:pt>
                <c:pt idx="9">
                  <c:v>25476.093473761903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06C-4DEB-B0A1-1AD351A8AE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8451848"/>
        <c:axId val="188458504"/>
      </c:lineChart>
      <c:catAx>
        <c:axId val="1884518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8458504"/>
        <c:crosses val="autoZero"/>
        <c:auto val="1"/>
        <c:lblAlgn val="ctr"/>
        <c:lblOffset val="100"/>
        <c:noMultiLvlLbl val="0"/>
      </c:catAx>
      <c:valAx>
        <c:axId val="188458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84518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Faial!$CJ$168:$CS$168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Faial!$CJ$172:$CS$172</c:f>
              <c:numCache>
                <c:formatCode>General</c:formatCode>
                <c:ptCount val="10"/>
                <c:pt idx="0">
                  <c:v>1279.1067956889306</c:v>
                </c:pt>
                <c:pt idx="1">
                  <c:v>1327.3504145515565</c:v>
                </c:pt>
                <c:pt idx="2">
                  <c:v>2059.7074475655345</c:v>
                </c:pt>
                <c:pt idx="3">
                  <c:v>1465.77478932753</c:v>
                </c:pt>
                <c:pt idx="4">
                  <c:v>2333.1811689692063</c:v>
                </c:pt>
                <c:pt idx="5">
                  <c:v>1540.6039881958661</c:v>
                </c:pt>
                <c:pt idx="6">
                  <c:v>1419.2114525866662</c:v>
                </c:pt>
                <c:pt idx="7">
                  <c:v>1826.6376363733175</c:v>
                </c:pt>
                <c:pt idx="8">
                  <c:v>1184.3215367521718</c:v>
                </c:pt>
                <c:pt idx="9">
                  <c:v>1716.2983183763176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FC0-44A4-B9DD-9EA261D56D8D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Faial!$CJ$168:$CS$168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Faial!$CJ$174:$CS$174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8.4088540338301439E-3</c:v>
                </c:pt>
                <c:pt idx="3">
                  <c:v>6.9969168003469147</c:v>
                </c:pt>
                <c:pt idx="4">
                  <c:v>32.454171085115192</c:v>
                </c:pt>
                <c:pt idx="5">
                  <c:v>20.318027550758302</c:v>
                </c:pt>
                <c:pt idx="6">
                  <c:v>18.173722087539446</c:v>
                </c:pt>
                <c:pt idx="7">
                  <c:v>7.7583967539982854</c:v>
                </c:pt>
                <c:pt idx="8">
                  <c:v>3.4287562854113637E-5</c:v>
                </c:pt>
                <c:pt idx="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FC0-44A4-B9DD-9EA261D56D8D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Faial!$CJ$168:$CS$168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Faial!$CJ$175:$CS$175</c:f>
              <c:numCache>
                <c:formatCode>General</c:formatCode>
                <c:ptCount val="10"/>
                <c:pt idx="0">
                  <c:v>39.677419354838705</c:v>
                </c:pt>
                <c:pt idx="1">
                  <c:v>39.677419354838705</c:v>
                </c:pt>
                <c:pt idx="2">
                  <c:v>39.677419354838705</c:v>
                </c:pt>
                <c:pt idx="3">
                  <c:v>39.677419354838705</c:v>
                </c:pt>
                <c:pt idx="4">
                  <c:v>39.677419354838705</c:v>
                </c:pt>
                <c:pt idx="5">
                  <c:v>39.677419354838705</c:v>
                </c:pt>
                <c:pt idx="6">
                  <c:v>39.677419354838705</c:v>
                </c:pt>
                <c:pt idx="7">
                  <c:v>39.677419354838705</c:v>
                </c:pt>
                <c:pt idx="8">
                  <c:v>39.677419354838705</c:v>
                </c:pt>
                <c:pt idx="9">
                  <c:v>39.677419354838705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1FC0-44A4-B9DD-9EA261D56D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6747783"/>
        <c:axId val="1889388551"/>
      </c:lineChart>
      <c:catAx>
        <c:axId val="367477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89388551"/>
        <c:crosses val="autoZero"/>
        <c:auto val="1"/>
        <c:lblAlgn val="ctr"/>
        <c:lblOffset val="100"/>
        <c:noMultiLvlLbl val="0"/>
      </c:catAx>
      <c:valAx>
        <c:axId val="18893885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67477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Faial!$CZ$168:$DI$168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Faial!$CZ$172:$DI$172</c:f>
              <c:numCache>
                <c:formatCode>General</c:formatCode>
                <c:ptCount val="10"/>
                <c:pt idx="0">
                  <c:v>1344.7198311125969</c:v>
                </c:pt>
                <c:pt idx="1">
                  <c:v>1337.5250538650439</c:v>
                </c:pt>
                <c:pt idx="2">
                  <c:v>1947.5888586203632</c:v>
                </c:pt>
                <c:pt idx="3">
                  <c:v>1286.4474658623396</c:v>
                </c:pt>
                <c:pt idx="4">
                  <c:v>1992.827485338255</c:v>
                </c:pt>
                <c:pt idx="5">
                  <c:v>1294.8744152379663</c:v>
                </c:pt>
                <c:pt idx="6">
                  <c:v>1263.7663305860606</c:v>
                </c:pt>
                <c:pt idx="7">
                  <c:v>1935.5762455095426</c:v>
                </c:pt>
                <c:pt idx="8">
                  <c:v>1331.9184572425834</c:v>
                </c:pt>
                <c:pt idx="9">
                  <c:v>2049.9891899585818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D68-452D-81A0-749D1B8F522A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Faial!$CZ$168:$DI$168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Faial!$CZ$174:$DI$174</c:f>
              <c:numCache>
                <c:formatCode>General</c:formatCode>
                <c:ptCount val="10"/>
                <c:pt idx="0">
                  <c:v>8.7233172395169678</c:v>
                </c:pt>
                <c:pt idx="1">
                  <c:v>4.4287621769590659</c:v>
                </c:pt>
                <c:pt idx="2">
                  <c:v>0.36611979793446814</c:v>
                </c:pt>
                <c:pt idx="3">
                  <c:v>0.10766196128574519</c:v>
                </c:pt>
                <c:pt idx="4">
                  <c:v>5.9497103085340184</c:v>
                </c:pt>
                <c:pt idx="5">
                  <c:v>5.7621064508402879</c:v>
                </c:pt>
                <c:pt idx="6">
                  <c:v>7.2268784260386063</c:v>
                </c:pt>
                <c:pt idx="7">
                  <c:v>6.7453402195989351</c:v>
                </c:pt>
                <c:pt idx="8">
                  <c:v>4.4435187151359621</c:v>
                </c:pt>
                <c:pt idx="9">
                  <c:v>12.013251370822612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D68-452D-81A0-749D1B8F522A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Faial!$CZ$168:$DI$168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Faial!$CZ$175:$DI$175</c:f>
              <c:numCache>
                <c:formatCode>General</c:formatCode>
                <c:ptCount val="10"/>
                <c:pt idx="0">
                  <c:v>92.013333333333335</c:v>
                </c:pt>
                <c:pt idx="1">
                  <c:v>92.013333333333335</c:v>
                </c:pt>
                <c:pt idx="2">
                  <c:v>92.013333333333335</c:v>
                </c:pt>
                <c:pt idx="3">
                  <c:v>92.013333333333335</c:v>
                </c:pt>
                <c:pt idx="4">
                  <c:v>92.013333333333335</c:v>
                </c:pt>
                <c:pt idx="5">
                  <c:v>92.013333333333335</c:v>
                </c:pt>
                <c:pt idx="6">
                  <c:v>92.013333333333335</c:v>
                </c:pt>
                <c:pt idx="7">
                  <c:v>92.013333333333335</c:v>
                </c:pt>
                <c:pt idx="8">
                  <c:v>92.013333333333335</c:v>
                </c:pt>
                <c:pt idx="9">
                  <c:v>92.013333333333335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2D68-452D-81A0-749D1B8F52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17447688"/>
        <c:axId val="1517453832"/>
      </c:lineChart>
      <c:catAx>
        <c:axId val="15174476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517453832"/>
        <c:crosses val="autoZero"/>
        <c:auto val="1"/>
        <c:lblAlgn val="ctr"/>
        <c:lblOffset val="100"/>
        <c:noMultiLvlLbl val="0"/>
      </c:catAx>
      <c:valAx>
        <c:axId val="1517453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5174476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Faial!$DN$168:$DW$168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Faial!$DN$172:$DW$172</c:f>
              <c:numCache>
                <c:formatCode>General</c:formatCode>
                <c:ptCount val="10"/>
                <c:pt idx="0">
                  <c:v>1724.4481559228379</c:v>
                </c:pt>
                <c:pt idx="1">
                  <c:v>1715.2216841854267</c:v>
                </c:pt>
                <c:pt idx="2">
                  <c:v>2497.5581817800344</c:v>
                </c:pt>
                <c:pt idx="3">
                  <c:v>1649.7205655830635</c:v>
                </c:pt>
                <c:pt idx="4">
                  <c:v>2555.5715049325145</c:v>
                </c:pt>
                <c:pt idx="5">
                  <c:v>1660.5271565238963</c:v>
                </c:pt>
                <c:pt idx="6">
                  <c:v>1620.63462498636</c:v>
                </c:pt>
                <c:pt idx="7">
                  <c:v>2482.1533901106413</c:v>
                </c:pt>
                <c:pt idx="8">
                  <c:v>1708.0318700253256</c:v>
                </c:pt>
                <c:pt idx="9">
                  <c:v>2628.8748014337639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A6F-44AC-A8EC-9501EE14B685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Faial!$DN$168:$DW$168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Faial!$DN$174:$DW$174</c:f>
              <c:numCache>
                <c:formatCode>General</c:formatCode>
                <c:ptCount val="10"/>
                <c:pt idx="0">
                  <c:v>7.4125405538853908</c:v>
                </c:pt>
                <c:pt idx="1">
                  <c:v>3.7632907687659567</c:v>
                </c:pt>
                <c:pt idx="2">
                  <c:v>0.31110617385329437</c:v>
                </c:pt>
                <c:pt idx="3">
                  <c:v>9.1484538775295859E-2</c:v>
                </c:pt>
                <c:pt idx="4">
                  <c:v>5.0556993097140639</c:v>
                </c:pt>
                <c:pt idx="5">
                  <c:v>4.8962850451594209</c:v>
                </c:pt>
                <c:pt idx="6">
                  <c:v>6.1409585302567784</c:v>
                </c:pt>
                <c:pt idx="7">
                  <c:v>5.7317768634441162</c:v>
                </c:pt>
                <c:pt idx="8">
                  <c:v>3.7758299704015901</c:v>
                </c:pt>
                <c:pt idx="9">
                  <c:v>10.208125019937635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A6F-44AC-A8EC-9501EE14B685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Faial!$DN$168:$DW$168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Faial!$DN$175:$DW$175</c:f>
              <c:numCache>
                <c:formatCode>General</c:formatCode>
                <c:ptCount val="10"/>
                <c:pt idx="0">
                  <c:v>120.48387096774192</c:v>
                </c:pt>
                <c:pt idx="1">
                  <c:v>120.48387096774192</c:v>
                </c:pt>
                <c:pt idx="2">
                  <c:v>120.48387096774192</c:v>
                </c:pt>
                <c:pt idx="3">
                  <c:v>120.48387096774192</c:v>
                </c:pt>
                <c:pt idx="4">
                  <c:v>120.48387096774192</c:v>
                </c:pt>
                <c:pt idx="5">
                  <c:v>120.48387096774192</c:v>
                </c:pt>
                <c:pt idx="6">
                  <c:v>120.48387096774192</c:v>
                </c:pt>
                <c:pt idx="7">
                  <c:v>120.48387096774192</c:v>
                </c:pt>
                <c:pt idx="8">
                  <c:v>120.48387096774192</c:v>
                </c:pt>
                <c:pt idx="9">
                  <c:v>120.48387096774192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A6F-44AC-A8EC-9501EE14B6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99234056"/>
        <c:axId val="1799254536"/>
      </c:lineChart>
      <c:catAx>
        <c:axId val="17992340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799254536"/>
        <c:crosses val="autoZero"/>
        <c:auto val="1"/>
        <c:lblAlgn val="ctr"/>
        <c:lblOffset val="100"/>
        <c:noMultiLvlLbl val="0"/>
      </c:catAx>
      <c:valAx>
        <c:axId val="1799254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7992340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Faial!$AX$3:$BI$3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Faial!$AX$21:$BI$21</c:f>
              <c:numCache>
                <c:formatCode>General</c:formatCode>
                <c:ptCount val="12"/>
                <c:pt idx="0">
                  <c:v>415244</c:v>
                </c:pt>
                <c:pt idx="1">
                  <c:v>307648</c:v>
                </c:pt>
                <c:pt idx="2">
                  <c:v>642500</c:v>
                </c:pt>
                <c:pt idx="3">
                  <c:v>666103</c:v>
                </c:pt>
                <c:pt idx="4">
                  <c:v>527788</c:v>
                </c:pt>
                <c:pt idx="5">
                  <c:v>486492</c:v>
                </c:pt>
                <c:pt idx="6">
                  <c:v>221869</c:v>
                </c:pt>
                <c:pt idx="7">
                  <c:v>173758</c:v>
                </c:pt>
                <c:pt idx="8">
                  <c:v>412818</c:v>
                </c:pt>
                <c:pt idx="9">
                  <c:v>515675</c:v>
                </c:pt>
                <c:pt idx="10">
                  <c:v>502834</c:v>
                </c:pt>
                <c:pt idx="11">
                  <c:v>666344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6D8-4B01-A398-08E10D311DCD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Faial!$AX$3:$BI$3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Faial!$AX$43:$BI$43</c:f>
              <c:numCache>
                <c:formatCode>General</c:formatCode>
                <c:ptCount val="12"/>
                <c:pt idx="0">
                  <c:v>3782515</c:v>
                </c:pt>
                <c:pt idx="1">
                  <c:v>3544391</c:v>
                </c:pt>
                <c:pt idx="2">
                  <c:v>3820841</c:v>
                </c:pt>
                <c:pt idx="3">
                  <c:v>3743867</c:v>
                </c:pt>
                <c:pt idx="4">
                  <c:v>1988599</c:v>
                </c:pt>
                <c:pt idx="5">
                  <c:v>5499199</c:v>
                </c:pt>
                <c:pt idx="6">
                  <c:v>3937773</c:v>
                </c:pt>
                <c:pt idx="7">
                  <c:v>4271695</c:v>
                </c:pt>
                <c:pt idx="8">
                  <c:v>4199085</c:v>
                </c:pt>
                <c:pt idx="9">
                  <c:v>3937708</c:v>
                </c:pt>
                <c:pt idx="10">
                  <c:v>3733008</c:v>
                </c:pt>
                <c:pt idx="11">
                  <c:v>3568006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6D8-4B01-A398-08E10D311D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7815815"/>
        <c:axId val="448881672"/>
      </c:lineChart>
      <c:catAx>
        <c:axId val="957815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48881672"/>
        <c:crosses val="autoZero"/>
        <c:auto val="1"/>
        <c:lblAlgn val="ctr"/>
        <c:lblOffset val="100"/>
        <c:noMultiLvlLbl val="0"/>
      </c:catAx>
      <c:valAx>
        <c:axId val="448881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578158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/>
              <a:t>Energy Production Mix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4EB-4D02-8368-BC587B38607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4EB-4D02-8368-BC587B38607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4EB-4D02-8368-BC587B386071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4EB-4D02-8368-BC587B38607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PT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Faial!$AM$23:$AM$26</c:f>
              <c:strCache>
                <c:ptCount val="4"/>
                <c:pt idx="0">
                  <c:v>Wind</c:v>
                </c:pt>
                <c:pt idx="1">
                  <c:v>Diesel</c:v>
                </c:pt>
                <c:pt idx="2">
                  <c:v>Solar</c:v>
                </c:pt>
                <c:pt idx="3">
                  <c:v>Hydro</c:v>
                </c:pt>
              </c:strCache>
            </c:strRef>
          </c:cat>
          <c:val>
            <c:numRef>
              <c:f>Faial!$AN$23:$AN$26</c:f>
              <c:numCache>
                <c:formatCode>General</c:formatCode>
                <c:ptCount val="4"/>
                <c:pt idx="0">
                  <c:v>5310488</c:v>
                </c:pt>
                <c:pt idx="1">
                  <c:v>45768005</c:v>
                </c:pt>
                <c:pt idx="2">
                  <c:v>22324</c:v>
                </c:pt>
                <c:pt idx="3">
                  <c:v>206261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44EB-4D02-8368-BC587B38607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/>
              <a:t>Demand</a:t>
            </a:r>
            <a:r>
              <a:rPr lang="pt-PT" baseline="0"/>
              <a:t> Profile</a:t>
            </a:r>
            <a:endParaRPr lang="pt-PT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Faial!$AB$51:$AB$73</c:f>
              <c:numCache>
                <c:formatCode>General</c:formatCode>
                <c:ptCount val="23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</c:numCache>
            </c:numRef>
          </c:cat>
          <c:val>
            <c:numRef>
              <c:f>Faial!$AC$51:$AC$73</c:f>
              <c:numCache>
                <c:formatCode>0.00E+00</c:formatCode>
                <c:ptCount val="23"/>
                <c:pt idx="0">
                  <c:v>31455998</c:v>
                </c:pt>
                <c:pt idx="1">
                  <c:v>34069932</c:v>
                </c:pt>
                <c:pt idx="2">
                  <c:v>36228047</c:v>
                </c:pt>
                <c:pt idx="3">
                  <c:v>38050263</c:v>
                </c:pt>
                <c:pt idx="4">
                  <c:v>41214552</c:v>
                </c:pt>
                <c:pt idx="5">
                  <c:v>42990867</c:v>
                </c:pt>
                <c:pt idx="6">
                  <c:v>45082771</c:v>
                </c:pt>
                <c:pt idx="7">
                  <c:v>45461182</c:v>
                </c:pt>
                <c:pt idx="8">
                  <c:v>46870112</c:v>
                </c:pt>
                <c:pt idx="9">
                  <c:v>47001965</c:v>
                </c:pt>
                <c:pt idx="10">
                  <c:v>47891334</c:v>
                </c:pt>
                <c:pt idx="11">
                  <c:v>46800381</c:v>
                </c:pt>
                <c:pt idx="12">
                  <c:v>44128365</c:v>
                </c:pt>
                <c:pt idx="13">
                  <c:v>43744234</c:v>
                </c:pt>
                <c:pt idx="14">
                  <c:v>43444670</c:v>
                </c:pt>
                <c:pt idx="15">
                  <c:v>43004351</c:v>
                </c:pt>
                <c:pt idx="16">
                  <c:v>43329400</c:v>
                </c:pt>
                <c:pt idx="17">
                  <c:v>43823062</c:v>
                </c:pt>
                <c:pt idx="18">
                  <c:v>43775982</c:v>
                </c:pt>
                <c:pt idx="19">
                  <c:v>43419551</c:v>
                </c:pt>
                <c:pt idx="20">
                  <c:v>42585061</c:v>
                </c:pt>
                <c:pt idx="21">
                  <c:v>45977220</c:v>
                </c:pt>
                <c:pt idx="22" formatCode="General">
                  <c:v>46026687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875-4E9C-A074-1DAF82CF07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54224912"/>
        <c:axId val="1110082928"/>
      </c:lineChart>
      <c:catAx>
        <c:axId val="115422491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10082928"/>
        <c:crosses val="autoZero"/>
        <c:auto val="1"/>
        <c:lblAlgn val="ctr"/>
        <c:lblOffset val="100"/>
        <c:noMultiLvlLbl val="0"/>
      </c:catAx>
      <c:valAx>
        <c:axId val="1110082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Energy</a:t>
                </a:r>
                <a:r>
                  <a:rPr lang="pt-PT" baseline="0"/>
                  <a:t> Consumption</a:t>
                </a:r>
                <a:endParaRPr lang="pt-PT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0.00E+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542249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/>
              <a:t>2022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Miguel'!$AI$70:$AI$81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Faial!$AX$43:$BI$43</c:f>
              <c:numCache>
                <c:formatCode>General</c:formatCode>
                <c:ptCount val="12"/>
                <c:pt idx="0">
                  <c:v>3782515</c:v>
                </c:pt>
                <c:pt idx="1">
                  <c:v>3544391</c:v>
                </c:pt>
                <c:pt idx="2">
                  <c:v>3820841</c:v>
                </c:pt>
                <c:pt idx="3">
                  <c:v>3743867</c:v>
                </c:pt>
                <c:pt idx="4">
                  <c:v>1988599</c:v>
                </c:pt>
                <c:pt idx="5">
                  <c:v>5499199</c:v>
                </c:pt>
                <c:pt idx="6">
                  <c:v>3937773</c:v>
                </c:pt>
                <c:pt idx="7">
                  <c:v>4271695</c:v>
                </c:pt>
                <c:pt idx="8">
                  <c:v>4199085</c:v>
                </c:pt>
                <c:pt idx="9">
                  <c:v>3937708</c:v>
                </c:pt>
                <c:pt idx="10">
                  <c:v>3733008</c:v>
                </c:pt>
                <c:pt idx="11">
                  <c:v>3568006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E71-4208-948D-F87061FA7F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54306512"/>
        <c:axId val="423044304"/>
      </c:lineChart>
      <c:catAx>
        <c:axId val="115430651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23044304"/>
        <c:crosses val="autoZero"/>
        <c:auto val="1"/>
        <c:lblAlgn val="ctr"/>
        <c:lblOffset val="100"/>
        <c:noMultiLvlLbl val="0"/>
      </c:catAx>
      <c:valAx>
        <c:axId val="423044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Energy Consumption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543065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Faial'!$BR$46:$CA$46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Faial'!$BR$48:$CA$48</c:f>
              <c:numCache>
                <c:formatCode>General</c:formatCode>
                <c:ptCount val="10"/>
                <c:pt idx="0">
                  <c:v>10760.176907322068</c:v>
                </c:pt>
                <c:pt idx="1">
                  <c:v>8803.7811059907835</c:v>
                </c:pt>
                <c:pt idx="2">
                  <c:v>8803.7811059907835</c:v>
                </c:pt>
                <c:pt idx="3">
                  <c:v>8803.7811059907835</c:v>
                </c:pt>
                <c:pt idx="4">
                  <c:v>12716.572708653353</c:v>
                </c:pt>
                <c:pt idx="5">
                  <c:v>13694.770609318995</c:v>
                </c:pt>
                <c:pt idx="6">
                  <c:v>13694.770609318995</c:v>
                </c:pt>
                <c:pt idx="7">
                  <c:v>12716.572708653353</c:v>
                </c:pt>
                <c:pt idx="8">
                  <c:v>16629.364311315923</c:v>
                </c:pt>
                <c:pt idx="9">
                  <c:v>16629.364311315923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C4F-42F3-8FCA-12EB5E04453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Faial'!$BR$46:$CA$46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Faial'!$BR$56:$CA$56</c:f>
              <c:numCache>
                <c:formatCode>General</c:formatCode>
                <c:ptCount val="10"/>
                <c:pt idx="0">
                  <c:v>2224.7749837167075</c:v>
                </c:pt>
                <c:pt idx="1">
                  <c:v>2227.290989693242</c:v>
                </c:pt>
                <c:pt idx="2">
                  <c:v>3365.1292874803371</c:v>
                </c:pt>
                <c:pt idx="3">
                  <c:v>2507.2707829544138</c:v>
                </c:pt>
                <c:pt idx="4">
                  <c:v>3881.8701063555368</c:v>
                </c:pt>
                <c:pt idx="5">
                  <c:v>2669.354245282736</c:v>
                </c:pt>
                <c:pt idx="6">
                  <c:v>2703.0114928329745</c:v>
                </c:pt>
                <c:pt idx="7">
                  <c:v>3828.7583069088009</c:v>
                </c:pt>
                <c:pt idx="8">
                  <c:v>2519.6414351981766</c:v>
                </c:pt>
                <c:pt idx="9">
                  <c:v>3323.3499824802661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C4F-42F3-8FCA-12EB5E0445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71708167"/>
        <c:axId val="1690531335"/>
      </c:lineChart>
      <c:catAx>
        <c:axId val="16717081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690531335"/>
        <c:crosses val="autoZero"/>
        <c:auto val="1"/>
        <c:lblAlgn val="ctr"/>
        <c:lblOffset val="100"/>
        <c:noMultiLvlLbl val="0"/>
      </c:catAx>
      <c:valAx>
        <c:axId val="16905313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6717081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Faial'!$BD$46:$BM$46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Faial'!$BD$48:$BM$48</c:f>
              <c:numCache>
                <c:formatCode>General</c:formatCode>
                <c:ptCount val="10"/>
                <c:pt idx="0">
                  <c:v>11336.005330490405</c:v>
                </c:pt>
                <c:pt idx="1">
                  <c:v>9446.6711087420026</c:v>
                </c:pt>
                <c:pt idx="2">
                  <c:v>9446.6711087420026</c:v>
                </c:pt>
                <c:pt idx="3">
                  <c:v>10391.338219616204</c:v>
                </c:pt>
                <c:pt idx="4">
                  <c:v>12280.672441364606</c:v>
                </c:pt>
                <c:pt idx="5">
                  <c:v>13225.339552238805</c:v>
                </c:pt>
                <c:pt idx="6">
                  <c:v>13225.339552238805</c:v>
                </c:pt>
                <c:pt idx="7">
                  <c:v>13225.339552238805</c:v>
                </c:pt>
                <c:pt idx="8">
                  <c:v>17004.007995735607</c:v>
                </c:pt>
                <c:pt idx="9">
                  <c:v>17004.007995735607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91-45B7-9ED5-F19A32D0F3E2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Faial'!$BD$46:$BM$46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Faial'!$BD$56:$BM$56</c:f>
              <c:numCache>
                <c:formatCode>General</c:formatCode>
                <c:ptCount val="10"/>
                <c:pt idx="0">
                  <c:v>10378.069978770447</c:v>
                </c:pt>
                <c:pt idx="1">
                  <c:v>9783.4944746249457</c:v>
                </c:pt>
                <c:pt idx="2">
                  <c:v>14797.501856914514</c:v>
                </c:pt>
                <c:pt idx="3">
                  <c:v>8929.6059750654404</c:v>
                </c:pt>
                <c:pt idx="4">
                  <c:v>15389.405088144158</c:v>
                </c:pt>
                <c:pt idx="5">
                  <c:v>10814.018374837884</c:v>
                </c:pt>
                <c:pt idx="6">
                  <c:v>10886.599881167345</c:v>
                </c:pt>
                <c:pt idx="7">
                  <c:v>14702.037280434397</c:v>
                </c:pt>
                <c:pt idx="8">
                  <c:v>9987.4333984398563</c:v>
                </c:pt>
                <c:pt idx="9">
                  <c:v>15733.262263029572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291-45B7-9ED5-F19A32D0F3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17352968"/>
        <c:axId val="82081288"/>
      </c:lineChart>
      <c:catAx>
        <c:axId val="1117352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82081288"/>
        <c:crosses val="autoZero"/>
        <c:auto val="1"/>
        <c:lblAlgn val="ctr"/>
        <c:lblOffset val="100"/>
        <c:noMultiLvlLbl val="0"/>
      </c:catAx>
      <c:valAx>
        <c:axId val="82081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17352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Faial'!$BD$97:$BM$97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Faial'!$BD$99:$BM$99</c:f>
              <c:numCache>
                <c:formatCode>General</c:formatCode>
                <c:ptCount val="10"/>
                <c:pt idx="0">
                  <c:v>15939.707246376811</c:v>
                </c:pt>
                <c:pt idx="1">
                  <c:v>14345.736521739131</c:v>
                </c:pt>
                <c:pt idx="2">
                  <c:v>14345.736521739131</c:v>
                </c:pt>
                <c:pt idx="3">
                  <c:v>14345.736521739131</c:v>
                </c:pt>
                <c:pt idx="4">
                  <c:v>19127.648695652173</c:v>
                </c:pt>
                <c:pt idx="5">
                  <c:v>22315.590144927537</c:v>
                </c:pt>
                <c:pt idx="6">
                  <c:v>22315.590144927537</c:v>
                </c:pt>
                <c:pt idx="7">
                  <c:v>19127.648695652173</c:v>
                </c:pt>
                <c:pt idx="8">
                  <c:v>19127.648695652173</c:v>
                </c:pt>
                <c:pt idx="9">
                  <c:v>22315.590144927537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C18-4A44-A1FE-DE950CAD82A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Faial'!$BD$97:$BM$97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Faial'!$BD$107:$BM$107</c:f>
              <c:numCache>
                <c:formatCode>General</c:formatCode>
                <c:ptCount val="10"/>
                <c:pt idx="0">
                  <c:v>13239.11680276341</c:v>
                </c:pt>
                <c:pt idx="1">
                  <c:v>13629.562645684306</c:v>
                </c:pt>
                <c:pt idx="2">
                  <c:v>21848.52363871835</c:v>
                </c:pt>
                <c:pt idx="3">
                  <c:v>16225.578688419948</c:v>
                </c:pt>
                <c:pt idx="4">
                  <c:v>25443.238518649232</c:v>
                </c:pt>
                <c:pt idx="5">
                  <c:v>16913.70335956847</c:v>
                </c:pt>
                <c:pt idx="6">
                  <c:v>17254.113091956042</c:v>
                </c:pt>
                <c:pt idx="7">
                  <c:v>23886.616899457294</c:v>
                </c:pt>
                <c:pt idx="8">
                  <c:v>14237.125210595854</c:v>
                </c:pt>
                <c:pt idx="9">
                  <c:v>20165.904477520387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C18-4A44-A1FE-DE950CAD82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38677512"/>
        <c:axId val="522221576"/>
      </c:lineChart>
      <c:catAx>
        <c:axId val="438677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22221576"/>
        <c:crosses val="autoZero"/>
        <c:auto val="1"/>
        <c:lblAlgn val="ctr"/>
        <c:lblOffset val="100"/>
        <c:noMultiLvlLbl val="0"/>
      </c:catAx>
      <c:valAx>
        <c:axId val="522221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38677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consumo vs prod energia renovaveis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consumo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Miguel'!$DF$96:$DO$96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Miguel'!$DF$98:$DO$98</c:f>
              <c:numCache>
                <c:formatCode>General</c:formatCode>
                <c:ptCount val="10"/>
                <c:pt idx="0">
                  <c:v>92678.981807925535</c:v>
                </c:pt>
                <c:pt idx="1">
                  <c:v>81094.109081934832</c:v>
                </c:pt>
                <c:pt idx="2">
                  <c:v>81094.109081934832</c:v>
                </c:pt>
                <c:pt idx="3">
                  <c:v>104263.85453391622</c:v>
                </c:pt>
                <c:pt idx="4">
                  <c:v>134384.52362149203</c:v>
                </c:pt>
                <c:pt idx="5">
                  <c:v>127433.59998589761</c:v>
                </c:pt>
                <c:pt idx="6">
                  <c:v>135543.0108940911</c:v>
                </c:pt>
                <c:pt idx="7">
                  <c:v>127433.59998589761</c:v>
                </c:pt>
                <c:pt idx="8">
                  <c:v>162188.21816386966</c:v>
                </c:pt>
                <c:pt idx="9">
                  <c:v>127433.59998589761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B6D-4AD0-AAC5-82B093876CAD}"/>
            </c:ext>
          </c:extLst>
        </c:ser>
        <c:ser>
          <c:idx val="1"/>
          <c:order val="1"/>
          <c:tx>
            <c:v>Prod energias renovaveis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Miguel'!$DF$96:$DO$96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Miguel'!$DF$106:$DO$106</c:f>
              <c:numCache>
                <c:formatCode>General</c:formatCode>
                <c:ptCount val="10"/>
                <c:pt idx="0">
                  <c:v>58707.500138504911</c:v>
                </c:pt>
                <c:pt idx="1">
                  <c:v>58650.1597214086</c:v>
                </c:pt>
                <c:pt idx="2">
                  <c:v>59592.851427662492</c:v>
                </c:pt>
                <c:pt idx="3">
                  <c:v>58483.713464661807</c:v>
                </c:pt>
                <c:pt idx="4">
                  <c:v>60149.341692299698</c:v>
                </c:pt>
                <c:pt idx="5">
                  <c:v>59750.234077031499</c:v>
                </c:pt>
                <c:pt idx="6">
                  <c:v>60181.3487217047</c:v>
                </c:pt>
                <c:pt idx="7">
                  <c:v>61026.737526065321</c:v>
                </c:pt>
                <c:pt idx="8">
                  <c:v>58504.921734547206</c:v>
                </c:pt>
                <c:pt idx="9">
                  <c:v>59775.227210399476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B6D-4AD0-AAC5-82B093876C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9677064"/>
        <c:axId val="667276296"/>
      </c:lineChart>
      <c:catAx>
        <c:axId val="149677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667276296"/>
        <c:crosses val="autoZero"/>
        <c:auto val="1"/>
        <c:lblAlgn val="ctr"/>
        <c:lblOffset val="100"/>
        <c:noMultiLvlLbl val="0"/>
      </c:catAx>
      <c:valAx>
        <c:axId val="667276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496770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Faial'!$CF$97:$CO$97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Faial'!$CF$99:$CO$99</c:f>
              <c:numCache>
                <c:formatCode>General</c:formatCode>
                <c:ptCount val="10"/>
                <c:pt idx="0">
                  <c:v>12719.687344913153</c:v>
                </c:pt>
                <c:pt idx="1">
                  <c:v>11659.713399503724</c:v>
                </c:pt>
                <c:pt idx="2">
                  <c:v>10599.739454094295</c:v>
                </c:pt>
                <c:pt idx="3">
                  <c:v>10599.739454094295</c:v>
                </c:pt>
                <c:pt idx="4">
                  <c:v>13779.661290322583</c:v>
                </c:pt>
                <c:pt idx="5">
                  <c:v>15899.609181141441</c:v>
                </c:pt>
                <c:pt idx="6">
                  <c:v>15899.609181141441</c:v>
                </c:pt>
                <c:pt idx="7">
                  <c:v>15899.609181141441</c:v>
                </c:pt>
                <c:pt idx="8">
                  <c:v>14839.635235732012</c:v>
                </c:pt>
                <c:pt idx="9">
                  <c:v>15899.609181141441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0BF-4DAF-AD09-7FA625ACB8F8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Faial'!$CF$97:$CO$97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Faial'!$CF$107:$CO$107</c:f>
              <c:numCache>
                <c:formatCode>General</c:formatCode>
                <c:ptCount val="10"/>
                <c:pt idx="0">
                  <c:v>4609.937469440968</c:v>
                </c:pt>
                <c:pt idx="1">
                  <c:v>4904.3312830705154</c:v>
                </c:pt>
                <c:pt idx="2">
                  <c:v>7485.3920407086152</c:v>
                </c:pt>
                <c:pt idx="3">
                  <c:v>5831.2662114246396</c:v>
                </c:pt>
                <c:pt idx="4">
                  <c:v>10222.763540098189</c:v>
                </c:pt>
                <c:pt idx="5">
                  <c:v>7115.1601913670165</c:v>
                </c:pt>
                <c:pt idx="6">
                  <c:v>6721.7627442822395</c:v>
                </c:pt>
                <c:pt idx="7">
                  <c:v>8527.6438255511839</c:v>
                </c:pt>
                <c:pt idx="8">
                  <c:v>4481.8093311729463</c:v>
                </c:pt>
                <c:pt idx="9">
                  <c:v>6395.0301370772295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0BF-4DAF-AD09-7FA625ACB8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2229768"/>
        <c:axId val="522248200"/>
      </c:lineChart>
      <c:catAx>
        <c:axId val="522229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22248200"/>
        <c:crosses val="autoZero"/>
        <c:auto val="1"/>
        <c:lblAlgn val="ctr"/>
        <c:lblOffset val="100"/>
        <c:noMultiLvlLbl val="0"/>
      </c:catAx>
      <c:valAx>
        <c:axId val="522248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222297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Production of Energy by Renewable Sources vs Demand - May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Faial'!$AP$97:$AY$97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Faial'!$AP$99:$AY$99</c:f>
              <c:numCache>
                <c:formatCode>General</c:formatCode>
                <c:ptCount val="10"/>
                <c:pt idx="0">
                  <c:v>5530.0305895439378</c:v>
                </c:pt>
                <c:pt idx="1">
                  <c:v>4977.0275305895439</c:v>
                </c:pt>
                <c:pt idx="2">
                  <c:v>4977.0275305895439</c:v>
                </c:pt>
                <c:pt idx="3">
                  <c:v>4977.0275305895439</c:v>
                </c:pt>
                <c:pt idx="4">
                  <c:v>7189.0397664071188</c:v>
                </c:pt>
                <c:pt idx="5">
                  <c:v>7189.0397664071188</c:v>
                </c:pt>
                <c:pt idx="6">
                  <c:v>7742.0428253615128</c:v>
                </c:pt>
                <c:pt idx="7">
                  <c:v>6636.0367074527248</c:v>
                </c:pt>
                <c:pt idx="8">
                  <c:v>6636.0367074527248</c:v>
                </c:pt>
                <c:pt idx="9">
                  <c:v>8295.0458843159067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939-4B67-98EF-4294977E55C2}"/>
            </c:ext>
          </c:extLst>
        </c:ser>
        <c:ser>
          <c:idx val="1"/>
          <c:order val="1"/>
          <c:tx>
            <c:v>Energy Production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Faial'!$AP$97:$AY$97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Faial'!$AP$107:$AY$107</c:f>
              <c:numCache>
                <c:formatCode>General</c:formatCode>
                <c:ptCount val="10"/>
                <c:pt idx="0">
                  <c:v>14361.929119690505</c:v>
                </c:pt>
                <c:pt idx="1">
                  <c:v>13717.62962393933</c:v>
                </c:pt>
                <c:pt idx="2">
                  <c:v>21884.601611231443</c:v>
                </c:pt>
                <c:pt idx="3">
                  <c:v>15904.220838989975</c:v>
                </c:pt>
                <c:pt idx="4">
                  <c:v>24953.50035604896</c:v>
                </c:pt>
                <c:pt idx="5">
                  <c:v>17384.423219364104</c:v>
                </c:pt>
                <c:pt idx="6">
                  <c:v>16869.991970080984</c:v>
                </c:pt>
                <c:pt idx="7">
                  <c:v>23918.793875641401</c:v>
                </c:pt>
                <c:pt idx="8">
                  <c:v>14735.470579471434</c:v>
                </c:pt>
                <c:pt idx="9">
                  <c:v>21180.503321670931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939-4B67-98EF-4294977E55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22430255"/>
        <c:axId val="686345855"/>
      </c:lineChart>
      <c:catAx>
        <c:axId val="20224302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686345855"/>
        <c:crosses val="autoZero"/>
        <c:auto val="1"/>
        <c:lblAlgn val="ctr"/>
        <c:lblOffset val="100"/>
        <c:noMultiLvlLbl val="0"/>
      </c:catAx>
      <c:valAx>
        <c:axId val="6863458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0224302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Production of Energy by Renewable Sources vs Demand - August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Faial'!$CF$97:$CO$97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Faial'!$CF$99:$CO$99</c:f>
              <c:numCache>
                <c:formatCode>General</c:formatCode>
                <c:ptCount val="10"/>
                <c:pt idx="0">
                  <c:v>12719.687344913153</c:v>
                </c:pt>
                <c:pt idx="1">
                  <c:v>11659.713399503724</c:v>
                </c:pt>
                <c:pt idx="2">
                  <c:v>10599.739454094295</c:v>
                </c:pt>
                <c:pt idx="3">
                  <c:v>10599.739454094295</c:v>
                </c:pt>
                <c:pt idx="4">
                  <c:v>13779.661290322583</c:v>
                </c:pt>
                <c:pt idx="5">
                  <c:v>15899.609181141441</c:v>
                </c:pt>
                <c:pt idx="6">
                  <c:v>15899.609181141441</c:v>
                </c:pt>
                <c:pt idx="7">
                  <c:v>15899.609181141441</c:v>
                </c:pt>
                <c:pt idx="8">
                  <c:v>14839.635235732012</c:v>
                </c:pt>
                <c:pt idx="9">
                  <c:v>15899.609181141441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98F-4635-B313-A7FE5EB25CFB}"/>
            </c:ext>
          </c:extLst>
        </c:ser>
        <c:ser>
          <c:idx val="1"/>
          <c:order val="1"/>
          <c:tx>
            <c:v>Energy Production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'% Renewable Faial'!$CF$97:$CO$97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'% Renewable Faial'!$CF$107:$CO$107</c:f>
              <c:numCache>
                <c:formatCode>General</c:formatCode>
                <c:ptCount val="10"/>
                <c:pt idx="0">
                  <c:v>4609.937469440968</c:v>
                </c:pt>
                <c:pt idx="1">
                  <c:v>4904.3312830705154</c:v>
                </c:pt>
                <c:pt idx="2">
                  <c:v>7485.3920407086152</c:v>
                </c:pt>
                <c:pt idx="3">
                  <c:v>5831.2662114246396</c:v>
                </c:pt>
                <c:pt idx="4">
                  <c:v>10222.763540098189</c:v>
                </c:pt>
                <c:pt idx="5">
                  <c:v>7115.1601913670165</c:v>
                </c:pt>
                <c:pt idx="6">
                  <c:v>6721.7627442822395</c:v>
                </c:pt>
                <c:pt idx="7">
                  <c:v>8527.6438255511839</c:v>
                </c:pt>
                <c:pt idx="8">
                  <c:v>4481.8093311729463</c:v>
                </c:pt>
                <c:pt idx="9">
                  <c:v>6395.0301370772295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98F-4635-B313-A7FE5EB25C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2229768"/>
        <c:axId val="522248200"/>
      </c:lineChart>
      <c:catAx>
        <c:axId val="522229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22248200"/>
        <c:crosses val="autoZero"/>
        <c:auto val="1"/>
        <c:lblAlgn val="ctr"/>
        <c:lblOffset val="100"/>
        <c:noMultiLvlLbl val="0"/>
      </c:catAx>
      <c:valAx>
        <c:axId val="522248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222297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Produção de Energia Elétrica na ilha das Flores em kWh (1990-2023)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Flores!$C$4</c:f>
              <c:strCache>
                <c:ptCount val="1"/>
                <c:pt idx="0">
                  <c:v>Biogás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Flores!$D$4:$AK$4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DF-4E45-B94C-5A857687413F}"/>
            </c:ext>
          </c:extLst>
        </c:ser>
        <c:ser>
          <c:idx val="1"/>
          <c:order val="1"/>
          <c:tx>
            <c:strRef>
              <c:f>Flores!$C$5</c:f>
              <c:strCache>
                <c:ptCount val="1"/>
                <c:pt idx="0">
                  <c:v>CentraldasOndas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Flores!$D$5:$AK$5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DDF-4E45-B94C-5A857687413F}"/>
            </c:ext>
          </c:extLst>
        </c:ser>
        <c:ser>
          <c:idx val="2"/>
          <c:order val="2"/>
          <c:tx>
            <c:strRef>
              <c:f>Flores!$C$6</c:f>
              <c:strCache>
                <c:ptCount val="1"/>
                <c:pt idx="0">
                  <c:v>Eólica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Flores!$D$6:$AK$6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273320</c:v>
                </c:pt>
                <c:pt idx="13">
                  <c:v>1473380</c:v>
                </c:pt>
                <c:pt idx="14">
                  <c:v>1769470</c:v>
                </c:pt>
                <c:pt idx="15">
                  <c:v>1606260</c:v>
                </c:pt>
                <c:pt idx="16">
                  <c:v>1733440</c:v>
                </c:pt>
                <c:pt idx="17">
                  <c:v>1684340</c:v>
                </c:pt>
                <c:pt idx="18">
                  <c:v>1946820</c:v>
                </c:pt>
                <c:pt idx="19">
                  <c:v>1979260</c:v>
                </c:pt>
                <c:pt idx="20">
                  <c:v>1844298</c:v>
                </c:pt>
                <c:pt idx="21">
                  <c:v>1587200</c:v>
                </c:pt>
                <c:pt idx="22">
                  <c:v>964760</c:v>
                </c:pt>
                <c:pt idx="23">
                  <c:v>1300000</c:v>
                </c:pt>
                <c:pt idx="24">
                  <c:v>1412120</c:v>
                </c:pt>
                <c:pt idx="25">
                  <c:v>1272627</c:v>
                </c:pt>
                <c:pt idx="26">
                  <c:v>969139</c:v>
                </c:pt>
                <c:pt idx="27">
                  <c:v>475604</c:v>
                </c:pt>
                <c:pt idx="28">
                  <c:v>527580</c:v>
                </c:pt>
                <c:pt idx="29">
                  <c:v>659671</c:v>
                </c:pt>
                <c:pt idx="30">
                  <c:v>600259</c:v>
                </c:pt>
                <c:pt idx="31">
                  <c:v>884003</c:v>
                </c:pt>
                <c:pt idx="32">
                  <c:v>684548</c:v>
                </c:pt>
                <c:pt idx="33">
                  <c:v>480116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DDF-4E45-B94C-5A857687413F}"/>
            </c:ext>
          </c:extLst>
        </c:ser>
        <c:ser>
          <c:idx val="3"/>
          <c:order val="3"/>
          <c:tx>
            <c:strRef>
              <c:f>Flores!$C$7</c:f>
              <c:strCache>
                <c:ptCount val="1"/>
                <c:pt idx="0">
                  <c:v>Fuel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Flores!$D$7:$AK$7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4DDF-4E45-B94C-5A857687413F}"/>
            </c:ext>
          </c:extLst>
        </c:ser>
        <c:ser>
          <c:idx val="4"/>
          <c:order val="4"/>
          <c:tx>
            <c:strRef>
              <c:f>Flores!$C$8</c:f>
              <c:strCache>
                <c:ptCount val="1"/>
                <c:pt idx="0">
                  <c:v>Gasóleo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Flores!$D$8:$AK$8</c:f>
              <c:numCache>
                <c:formatCode>General</c:formatCode>
                <c:ptCount val="34"/>
                <c:pt idx="0">
                  <c:v>2512250</c:v>
                </c:pt>
                <c:pt idx="1">
                  <c:v>1857374</c:v>
                </c:pt>
                <c:pt idx="2">
                  <c:v>3594595</c:v>
                </c:pt>
                <c:pt idx="3">
                  <c:v>3110532</c:v>
                </c:pt>
                <c:pt idx="4">
                  <c:v>2658450</c:v>
                </c:pt>
                <c:pt idx="5">
                  <c:v>2656230</c:v>
                </c:pt>
                <c:pt idx="6">
                  <c:v>3710000</c:v>
                </c:pt>
                <c:pt idx="7">
                  <c:v>1883650</c:v>
                </c:pt>
                <c:pt idx="8">
                  <c:v>3326040</c:v>
                </c:pt>
                <c:pt idx="9">
                  <c:v>4279750</c:v>
                </c:pt>
                <c:pt idx="10">
                  <c:v>5132860</c:v>
                </c:pt>
                <c:pt idx="11">
                  <c:v>4445620</c:v>
                </c:pt>
                <c:pt idx="12">
                  <c:v>4901865</c:v>
                </c:pt>
                <c:pt idx="13">
                  <c:v>3487060</c:v>
                </c:pt>
                <c:pt idx="14">
                  <c:v>3759032</c:v>
                </c:pt>
                <c:pt idx="15">
                  <c:v>4493650</c:v>
                </c:pt>
                <c:pt idx="16">
                  <c:v>5235869</c:v>
                </c:pt>
                <c:pt idx="17">
                  <c:v>5261084</c:v>
                </c:pt>
                <c:pt idx="18">
                  <c:v>6006856</c:v>
                </c:pt>
                <c:pt idx="19">
                  <c:v>5496178</c:v>
                </c:pt>
                <c:pt idx="20">
                  <c:v>6183590</c:v>
                </c:pt>
                <c:pt idx="21">
                  <c:v>5920396</c:v>
                </c:pt>
                <c:pt idx="22">
                  <c:v>7329780</c:v>
                </c:pt>
                <c:pt idx="23">
                  <c:v>10143408</c:v>
                </c:pt>
                <c:pt idx="24">
                  <c:v>9960351</c:v>
                </c:pt>
                <c:pt idx="25">
                  <c:v>7591022</c:v>
                </c:pt>
                <c:pt idx="26">
                  <c:v>5846227</c:v>
                </c:pt>
                <c:pt idx="27">
                  <c:v>6067990</c:v>
                </c:pt>
                <c:pt idx="28">
                  <c:v>6709000</c:v>
                </c:pt>
                <c:pt idx="29">
                  <c:v>5531640</c:v>
                </c:pt>
                <c:pt idx="30">
                  <c:v>6080319</c:v>
                </c:pt>
                <c:pt idx="31">
                  <c:v>5219233</c:v>
                </c:pt>
                <c:pt idx="32">
                  <c:v>6323096</c:v>
                </c:pt>
                <c:pt idx="33">
                  <c:v>4009632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4DDF-4E45-B94C-5A857687413F}"/>
            </c:ext>
          </c:extLst>
        </c:ser>
        <c:ser>
          <c:idx val="5"/>
          <c:order val="5"/>
          <c:tx>
            <c:strRef>
              <c:f>Flores!$C$9</c:f>
              <c:strCache>
                <c:ptCount val="1"/>
                <c:pt idx="0">
                  <c:v>Geotérmica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Flores!$D$9:$AK$9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4DDF-4E45-B94C-5A857687413F}"/>
            </c:ext>
          </c:extLst>
        </c:ser>
        <c:ser>
          <c:idx val="6"/>
          <c:order val="6"/>
          <c:tx>
            <c:strRef>
              <c:f>Flores!$C$10</c:f>
              <c:strCache>
                <c:ptCount val="1"/>
                <c:pt idx="0">
                  <c:v>Hidríca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Flores!$D$10:$AK$10</c:f>
              <c:numCache>
                <c:formatCode>General</c:formatCode>
                <c:ptCount val="34"/>
                <c:pt idx="0">
                  <c:v>3391175</c:v>
                </c:pt>
                <c:pt idx="1">
                  <c:v>3777130</c:v>
                </c:pt>
                <c:pt idx="2">
                  <c:v>3497605</c:v>
                </c:pt>
                <c:pt idx="3">
                  <c:v>3643518</c:v>
                </c:pt>
                <c:pt idx="4">
                  <c:v>3437575</c:v>
                </c:pt>
                <c:pt idx="5">
                  <c:v>3443280</c:v>
                </c:pt>
                <c:pt idx="6">
                  <c:v>2533480</c:v>
                </c:pt>
                <c:pt idx="7">
                  <c:v>4529180</c:v>
                </c:pt>
                <c:pt idx="8">
                  <c:v>3555380</c:v>
                </c:pt>
                <c:pt idx="9">
                  <c:v>3177910</c:v>
                </c:pt>
                <c:pt idx="10">
                  <c:v>2900800</c:v>
                </c:pt>
                <c:pt idx="11">
                  <c:v>3816630</c:v>
                </c:pt>
                <c:pt idx="12">
                  <c:v>3570813</c:v>
                </c:pt>
                <c:pt idx="13">
                  <c:v>4198240</c:v>
                </c:pt>
                <c:pt idx="14">
                  <c:v>4351955</c:v>
                </c:pt>
                <c:pt idx="15">
                  <c:v>4165942</c:v>
                </c:pt>
                <c:pt idx="16">
                  <c:v>3968751</c:v>
                </c:pt>
                <c:pt idx="17">
                  <c:v>4422242</c:v>
                </c:pt>
                <c:pt idx="18">
                  <c:v>3643526</c:v>
                </c:pt>
                <c:pt idx="19">
                  <c:v>4395943</c:v>
                </c:pt>
                <c:pt idx="20">
                  <c:v>4007572</c:v>
                </c:pt>
                <c:pt idx="21">
                  <c:v>4269859</c:v>
                </c:pt>
                <c:pt idx="22">
                  <c:v>2980894</c:v>
                </c:pt>
                <c:pt idx="23">
                  <c:v>0</c:v>
                </c:pt>
                <c:pt idx="24">
                  <c:v>0</c:v>
                </c:pt>
                <c:pt idx="25">
                  <c:v>2768687</c:v>
                </c:pt>
                <c:pt idx="26">
                  <c:v>4914866</c:v>
                </c:pt>
                <c:pt idx="27">
                  <c:v>5504197</c:v>
                </c:pt>
                <c:pt idx="28">
                  <c:v>4736665</c:v>
                </c:pt>
                <c:pt idx="29">
                  <c:v>5424814</c:v>
                </c:pt>
                <c:pt idx="30">
                  <c:v>4711583</c:v>
                </c:pt>
                <c:pt idx="31">
                  <c:v>6059161</c:v>
                </c:pt>
                <c:pt idx="32">
                  <c:v>5076694</c:v>
                </c:pt>
                <c:pt idx="33">
                  <c:v>3198939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4DDF-4E45-B94C-5A857687413F}"/>
            </c:ext>
          </c:extLst>
        </c:ser>
        <c:ser>
          <c:idx val="7"/>
          <c:order val="7"/>
          <c:tx>
            <c:strRef>
              <c:f>Flores!$C$11</c:f>
              <c:strCache>
                <c:ptCount val="1"/>
                <c:pt idx="0">
                  <c:v>Ind.0Eólica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Flores!$D$11:$AK$11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F-4DDF-4E45-B94C-5A857687413F}"/>
            </c:ext>
          </c:extLst>
        </c:ser>
        <c:ser>
          <c:idx val="8"/>
          <c:order val="8"/>
          <c:tx>
            <c:strRef>
              <c:f>Flores!$C$12</c:f>
              <c:strCache>
                <c:ptCount val="1"/>
                <c:pt idx="0">
                  <c:v>Ind.0Fotovoltaica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Flores!$D$12:$AK$12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1-4DDF-4E45-B94C-5A857687413F}"/>
            </c:ext>
          </c:extLst>
        </c:ser>
        <c:ser>
          <c:idx val="9"/>
          <c:order val="9"/>
          <c:tx>
            <c:strRef>
              <c:f>Flores!$C$13</c:f>
              <c:strCache>
                <c:ptCount val="1"/>
                <c:pt idx="0">
                  <c:v>Ind.0Resíduos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Flores!$D$13:$AK$13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4DDF-4E45-B94C-5A857687413F}"/>
            </c:ext>
          </c:extLst>
        </c:ser>
        <c:ser>
          <c:idx val="10"/>
          <c:order val="10"/>
          <c:tx>
            <c:strRef>
              <c:f>Flores!$C$14</c:f>
              <c:strCache>
                <c:ptCount val="1"/>
                <c:pt idx="0">
                  <c:v>Micro0Eólica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Flores!$D$14:$AK$14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4DDF-4E45-B94C-5A857687413F}"/>
            </c:ext>
          </c:extLst>
        </c:ser>
        <c:ser>
          <c:idx val="11"/>
          <c:order val="11"/>
          <c:tx>
            <c:strRef>
              <c:f>Flores!$C$15</c:f>
              <c:strCache>
                <c:ptCount val="1"/>
                <c:pt idx="0">
                  <c:v>Micro0Fotovoltaica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Flores!$D$15:$AK$15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1696</c:v>
                </c:pt>
                <c:pt idx="22">
                  <c:v>8387</c:v>
                </c:pt>
                <c:pt idx="23">
                  <c:v>8715</c:v>
                </c:pt>
                <c:pt idx="24">
                  <c:v>8772</c:v>
                </c:pt>
                <c:pt idx="25">
                  <c:v>8403</c:v>
                </c:pt>
                <c:pt idx="26">
                  <c:v>5412</c:v>
                </c:pt>
                <c:pt idx="27">
                  <c:v>8741</c:v>
                </c:pt>
                <c:pt idx="28">
                  <c:v>8979</c:v>
                </c:pt>
                <c:pt idx="29">
                  <c:v>1594</c:v>
                </c:pt>
                <c:pt idx="30">
                  <c:v>7581</c:v>
                </c:pt>
                <c:pt idx="31">
                  <c:v>3343</c:v>
                </c:pt>
                <c:pt idx="32">
                  <c:v>2912</c:v>
                </c:pt>
                <c:pt idx="33">
                  <c:v>891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4DDF-4E45-B94C-5A857687413F}"/>
            </c:ext>
          </c:extLst>
        </c:ser>
        <c:ser>
          <c:idx val="12"/>
          <c:order val="12"/>
          <c:tx>
            <c:strRef>
              <c:f>Flores!$C$16</c:f>
              <c:strCache>
                <c:ptCount val="1"/>
                <c:pt idx="0">
                  <c:v>Mini0Eólica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Flores!$D$16:$AK$16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9-4DDF-4E45-B94C-5A857687413F}"/>
            </c:ext>
          </c:extLst>
        </c:ser>
        <c:ser>
          <c:idx val="13"/>
          <c:order val="13"/>
          <c:tx>
            <c:strRef>
              <c:f>Flores!$C$17</c:f>
              <c:strCache>
                <c:ptCount val="1"/>
                <c:pt idx="0">
                  <c:v>Mini0Fotovoltaica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Flores!$D$17:$AK$17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4DDF-4E45-B94C-5A857687413F}"/>
            </c:ext>
          </c:extLst>
        </c:ser>
        <c:ser>
          <c:idx val="14"/>
          <c:order val="14"/>
          <c:tx>
            <c:strRef>
              <c:f>Flores!$C$18</c:f>
              <c:strCache>
                <c:ptCount val="1"/>
                <c:pt idx="0">
                  <c:v>TérmicaFuelAdq.(SINAGA)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Flores!$D$2:$AK$3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Flores!$D$18:$AK$18</c:f>
              <c:numCache>
                <c:formatCode>General</c:formatCode>
                <c:ptCount val="3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D-4DDF-4E45-B94C-5A85768741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07376263"/>
        <c:axId val="1107365351"/>
      </c:lineChart>
      <c:catAx>
        <c:axId val="11073762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07365351"/>
        <c:crosses val="autoZero"/>
        <c:auto val="1"/>
        <c:lblAlgn val="ctr"/>
        <c:lblOffset val="100"/>
        <c:noMultiLvlLbl val="0"/>
      </c:catAx>
      <c:valAx>
        <c:axId val="11073653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073762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Flores!$D$2:$AK$2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Flores!$D$3:$AK$3</c:f>
              <c:numCache>
                <c:formatCode>General</c:formatCode>
                <c:ptCount val="34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3F-433B-85C3-A01E0CED709F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Flores!$D$2:$AK$2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Flores!$D$19:$AK$19</c:f>
              <c:numCache>
                <c:formatCode>General</c:formatCode>
                <c:ptCount val="34"/>
                <c:pt idx="0">
                  <c:v>5903425</c:v>
                </c:pt>
                <c:pt idx="1">
                  <c:v>5634504</c:v>
                </c:pt>
                <c:pt idx="2">
                  <c:v>7092200</c:v>
                </c:pt>
                <c:pt idx="3">
                  <c:v>6754050</c:v>
                </c:pt>
                <c:pt idx="4">
                  <c:v>6096025</c:v>
                </c:pt>
                <c:pt idx="5">
                  <c:v>6099510</c:v>
                </c:pt>
                <c:pt idx="6">
                  <c:v>6243480</c:v>
                </c:pt>
                <c:pt idx="7">
                  <c:v>6412830</c:v>
                </c:pt>
                <c:pt idx="8">
                  <c:v>6881420</c:v>
                </c:pt>
                <c:pt idx="9">
                  <c:v>7457660</c:v>
                </c:pt>
                <c:pt idx="10">
                  <c:v>8033660</c:v>
                </c:pt>
                <c:pt idx="11">
                  <c:v>8262250</c:v>
                </c:pt>
                <c:pt idx="12">
                  <c:v>8745998</c:v>
                </c:pt>
                <c:pt idx="13">
                  <c:v>9158680</c:v>
                </c:pt>
                <c:pt idx="14">
                  <c:v>9880457</c:v>
                </c:pt>
                <c:pt idx="15">
                  <c:v>10265852</c:v>
                </c:pt>
                <c:pt idx="16">
                  <c:v>10938060</c:v>
                </c:pt>
                <c:pt idx="17">
                  <c:v>11367666</c:v>
                </c:pt>
                <c:pt idx="18">
                  <c:v>11597202</c:v>
                </c:pt>
                <c:pt idx="19">
                  <c:v>11871381</c:v>
                </c:pt>
                <c:pt idx="20">
                  <c:v>12035460</c:v>
                </c:pt>
                <c:pt idx="21">
                  <c:v>11779151</c:v>
                </c:pt>
                <c:pt idx="22">
                  <c:v>11283821</c:v>
                </c:pt>
                <c:pt idx="23">
                  <c:v>11452123</c:v>
                </c:pt>
                <c:pt idx="24">
                  <c:v>11381243</c:v>
                </c:pt>
                <c:pt idx="25">
                  <c:v>11640739</c:v>
                </c:pt>
                <c:pt idx="26">
                  <c:v>11735644</c:v>
                </c:pt>
                <c:pt idx="27">
                  <c:v>12056532</c:v>
                </c:pt>
                <c:pt idx="28">
                  <c:v>11982224</c:v>
                </c:pt>
                <c:pt idx="29">
                  <c:v>11617719</c:v>
                </c:pt>
                <c:pt idx="30">
                  <c:v>11399742</c:v>
                </c:pt>
                <c:pt idx="31">
                  <c:v>12165740</c:v>
                </c:pt>
                <c:pt idx="32">
                  <c:v>12087250</c:v>
                </c:pt>
                <c:pt idx="33">
                  <c:v>7689578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3F-433B-85C3-A01E0CED709F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Flores!$D$2:$AK$2</c:f>
              <c:strCache>
                <c:ptCount val="34"/>
                <c:pt idx="0">
                  <c:v> 1990</c:v>
                </c:pt>
                <c:pt idx="1">
                  <c:v> 1991</c:v>
                </c:pt>
                <c:pt idx="2">
                  <c:v> 1992</c:v>
                </c:pt>
                <c:pt idx="3">
                  <c:v> 1993</c:v>
                </c:pt>
                <c:pt idx="4">
                  <c:v> 1994</c:v>
                </c:pt>
                <c:pt idx="5">
                  <c:v> 1995</c:v>
                </c:pt>
                <c:pt idx="6">
                  <c:v> 1996</c:v>
                </c:pt>
                <c:pt idx="7">
                  <c:v> 1997</c:v>
                </c:pt>
                <c:pt idx="8">
                  <c:v> 1998</c:v>
                </c:pt>
                <c:pt idx="9">
                  <c:v> 1999</c:v>
                </c:pt>
                <c:pt idx="10">
                  <c:v> 2000</c:v>
                </c:pt>
                <c:pt idx="11">
                  <c:v> 2001</c:v>
                </c:pt>
                <c:pt idx="12">
                  <c:v> 2002</c:v>
                </c:pt>
                <c:pt idx="13">
                  <c:v> 2003</c:v>
                </c:pt>
                <c:pt idx="14">
                  <c:v> 2004</c:v>
                </c:pt>
                <c:pt idx="15">
                  <c:v> 2005</c:v>
                </c:pt>
                <c:pt idx="16">
                  <c:v> 2006</c:v>
                </c:pt>
                <c:pt idx="17">
                  <c:v> 2007</c:v>
                </c:pt>
                <c:pt idx="18">
                  <c:v> 2008</c:v>
                </c:pt>
                <c:pt idx="19">
                  <c:v> 2009</c:v>
                </c:pt>
                <c:pt idx="20">
                  <c:v> 2010</c:v>
                </c:pt>
                <c:pt idx="21">
                  <c:v> 2011</c:v>
                </c:pt>
                <c:pt idx="22">
                  <c:v> 2012</c:v>
                </c:pt>
                <c:pt idx="23">
                  <c:v> 2013</c:v>
                </c:pt>
                <c:pt idx="24">
                  <c:v> 2014</c:v>
                </c:pt>
                <c:pt idx="25">
                  <c:v> 2015</c:v>
                </c:pt>
                <c:pt idx="26">
                  <c:v> 2016</c:v>
                </c:pt>
                <c:pt idx="27">
                  <c:v> 2017</c:v>
                </c:pt>
                <c:pt idx="28">
                  <c:v> 2018</c:v>
                </c:pt>
                <c:pt idx="29">
                  <c:v> 2019</c:v>
                </c:pt>
                <c:pt idx="30">
                  <c:v> 2020</c:v>
                </c:pt>
                <c:pt idx="31">
                  <c:v> 2021</c:v>
                </c:pt>
                <c:pt idx="32">
                  <c:v> 2022</c:v>
                </c:pt>
                <c:pt idx="33">
                  <c:v> 2023</c:v>
                </c:pt>
              </c:strCache>
            </c:strRef>
          </c:cat>
          <c:val>
            <c:numRef>
              <c:f>Flores!$D$48:$AK$48</c:f>
              <c:numCache>
                <c:formatCode>General</c:formatCode>
                <c:ptCount val="34"/>
                <c:pt idx="0">
                  <c:v>0</c:v>
                </c:pt>
                <c:pt idx="1">
                  <c:v>5138305</c:v>
                </c:pt>
                <c:pt idx="2">
                  <c:v>6684860</c:v>
                </c:pt>
                <c:pt idx="3">
                  <c:v>6168342</c:v>
                </c:pt>
                <c:pt idx="4">
                  <c:v>5164347</c:v>
                </c:pt>
                <c:pt idx="5">
                  <c:v>5177088</c:v>
                </c:pt>
                <c:pt idx="6">
                  <c:v>5349082</c:v>
                </c:pt>
                <c:pt idx="7">
                  <c:v>5602013</c:v>
                </c:pt>
                <c:pt idx="8">
                  <c:v>5998159</c:v>
                </c:pt>
                <c:pt idx="9">
                  <c:v>6635306</c:v>
                </c:pt>
                <c:pt idx="10">
                  <c:v>7282803</c:v>
                </c:pt>
                <c:pt idx="11">
                  <c:v>7256797</c:v>
                </c:pt>
                <c:pt idx="12">
                  <c:v>7914088</c:v>
                </c:pt>
                <c:pt idx="13">
                  <c:v>8223865</c:v>
                </c:pt>
                <c:pt idx="14">
                  <c:v>9048894</c:v>
                </c:pt>
                <c:pt idx="15">
                  <c:v>9539045</c:v>
                </c:pt>
                <c:pt idx="16">
                  <c:v>10220522</c:v>
                </c:pt>
                <c:pt idx="17">
                  <c:v>10689340</c:v>
                </c:pt>
                <c:pt idx="18">
                  <c:v>10910524</c:v>
                </c:pt>
                <c:pt idx="19">
                  <c:v>11328731</c:v>
                </c:pt>
                <c:pt idx="20">
                  <c:v>11610777</c:v>
                </c:pt>
                <c:pt idx="21">
                  <c:v>11292768</c:v>
                </c:pt>
                <c:pt idx="22">
                  <c:v>10485212</c:v>
                </c:pt>
                <c:pt idx="23">
                  <c:v>10157800</c:v>
                </c:pt>
                <c:pt idx="24">
                  <c:v>10028600</c:v>
                </c:pt>
                <c:pt idx="25">
                  <c:v>10376381</c:v>
                </c:pt>
                <c:pt idx="26">
                  <c:v>10676798</c:v>
                </c:pt>
                <c:pt idx="27">
                  <c:v>10824348</c:v>
                </c:pt>
                <c:pt idx="28">
                  <c:v>10863756</c:v>
                </c:pt>
                <c:pt idx="29">
                  <c:v>10558761</c:v>
                </c:pt>
                <c:pt idx="30">
                  <c:v>10241082</c:v>
                </c:pt>
                <c:pt idx="31">
                  <c:v>11105096</c:v>
                </c:pt>
                <c:pt idx="32">
                  <c:v>10956901</c:v>
                </c:pt>
                <c:pt idx="33">
                  <c:v>7139707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93F-433B-85C3-A01E0CED70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0751080"/>
        <c:axId val="1220735208"/>
      </c:lineChart>
      <c:catAx>
        <c:axId val="1220751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220735208"/>
        <c:crosses val="autoZero"/>
        <c:auto val="1"/>
        <c:lblAlgn val="ctr"/>
        <c:lblOffset val="100"/>
        <c:noMultiLvlLbl val="0"/>
      </c:catAx>
      <c:valAx>
        <c:axId val="1220735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2207510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Energy</a:t>
            </a:r>
            <a:r>
              <a:rPr lang="en-US" baseline="0"/>
              <a:t> Production </a:t>
            </a:r>
            <a:r>
              <a:rPr lang="en-US"/>
              <a:t>Mix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906-4AFD-9D91-F0B42B69CF9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906-4AFD-9D91-F0B42B69CF9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3906-4AFD-9D91-F0B42B69CF9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3906-4AFD-9D91-F0B42B69CF9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PT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Flores!$AI$22:$AI$25</c:f>
              <c:strCache>
                <c:ptCount val="4"/>
                <c:pt idx="0">
                  <c:v>Wind</c:v>
                </c:pt>
                <c:pt idx="1">
                  <c:v>Diesel</c:v>
                </c:pt>
                <c:pt idx="2">
                  <c:v>Hydro</c:v>
                </c:pt>
                <c:pt idx="3">
                  <c:v>PhotoVoltaic</c:v>
                </c:pt>
              </c:strCache>
            </c:strRef>
          </c:cat>
          <c:val>
            <c:numRef>
              <c:f>Flores!$AJ$22:$AJ$25</c:f>
              <c:numCache>
                <c:formatCode>General</c:formatCode>
                <c:ptCount val="4"/>
                <c:pt idx="0">
                  <c:v>684548</c:v>
                </c:pt>
                <c:pt idx="1">
                  <c:v>6323096</c:v>
                </c:pt>
                <c:pt idx="2">
                  <c:v>5076694</c:v>
                </c:pt>
                <c:pt idx="3">
                  <c:v>2912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A41-4774-8300-F4FFC006C2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vs Demand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Produção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Flores!$BG$19:$BR$19</c:f>
              <c:numCache>
                <c:formatCode>General</c:formatCode>
                <c:ptCount val="12"/>
                <c:pt idx="0">
                  <c:v>1010307</c:v>
                </c:pt>
                <c:pt idx="1">
                  <c:v>898605</c:v>
                </c:pt>
                <c:pt idx="2">
                  <c:v>1008586</c:v>
                </c:pt>
                <c:pt idx="3">
                  <c:v>953791</c:v>
                </c:pt>
                <c:pt idx="4">
                  <c:v>1007193</c:v>
                </c:pt>
                <c:pt idx="5">
                  <c:v>977107</c:v>
                </c:pt>
                <c:pt idx="6">
                  <c:v>1077962</c:v>
                </c:pt>
                <c:pt idx="7">
                  <c:v>1124809</c:v>
                </c:pt>
                <c:pt idx="8">
                  <c:v>1041256</c:v>
                </c:pt>
                <c:pt idx="9">
                  <c:v>993921</c:v>
                </c:pt>
                <c:pt idx="10">
                  <c:v>975215</c:v>
                </c:pt>
                <c:pt idx="11">
                  <c:v>1018498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1DB-4DEF-854A-DF4156BD6B19}"/>
            </c:ext>
          </c:extLst>
        </c:ser>
        <c:ser>
          <c:idx val="1"/>
          <c:order val="1"/>
          <c:tx>
            <c:v>Consumo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Flores!$BG$44:$BR$44</c:f>
              <c:numCache>
                <c:formatCode>General</c:formatCode>
                <c:ptCount val="12"/>
                <c:pt idx="0">
                  <c:v>867605</c:v>
                </c:pt>
                <c:pt idx="1">
                  <c:v>869598</c:v>
                </c:pt>
                <c:pt idx="2">
                  <c:v>921939</c:v>
                </c:pt>
                <c:pt idx="3">
                  <c:v>855908</c:v>
                </c:pt>
                <c:pt idx="4">
                  <c:v>537249</c:v>
                </c:pt>
                <c:pt idx="5">
                  <c:v>1255785</c:v>
                </c:pt>
                <c:pt idx="6">
                  <c:v>938216</c:v>
                </c:pt>
                <c:pt idx="7">
                  <c:v>978925</c:v>
                </c:pt>
                <c:pt idx="8">
                  <c:v>998679</c:v>
                </c:pt>
                <c:pt idx="9">
                  <c:v>964566</c:v>
                </c:pt>
                <c:pt idx="10">
                  <c:v>896224</c:v>
                </c:pt>
                <c:pt idx="11">
                  <c:v>872207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1DB-4DEF-854A-DF4156BD6B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98208008"/>
        <c:axId val="980117511"/>
      </c:barChart>
      <c:catAx>
        <c:axId val="598208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80117511"/>
        <c:crosses val="autoZero"/>
        <c:auto val="1"/>
        <c:lblAlgn val="ctr"/>
        <c:lblOffset val="100"/>
        <c:noMultiLvlLbl val="0"/>
      </c:catAx>
      <c:valAx>
        <c:axId val="9801175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982080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Comparaçao da utilizaçao de fontes renovaveis e nao renovaveis na produçao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v>Fontes Renovaveis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Flores!$BG$21:$BR$21</c:f>
              <c:numCache>
                <c:formatCode>General</c:formatCode>
                <c:ptCount val="12"/>
                <c:pt idx="0">
                  <c:v>494487</c:v>
                </c:pt>
                <c:pt idx="1">
                  <c:v>365888</c:v>
                </c:pt>
                <c:pt idx="2">
                  <c:v>711262</c:v>
                </c:pt>
                <c:pt idx="3">
                  <c:v>583842</c:v>
                </c:pt>
                <c:pt idx="4">
                  <c:v>523106</c:v>
                </c:pt>
                <c:pt idx="5">
                  <c:v>444609</c:v>
                </c:pt>
                <c:pt idx="6">
                  <c:v>232187</c:v>
                </c:pt>
                <c:pt idx="7">
                  <c:v>232890</c:v>
                </c:pt>
                <c:pt idx="8">
                  <c:v>382105</c:v>
                </c:pt>
                <c:pt idx="9">
                  <c:v>473900</c:v>
                </c:pt>
                <c:pt idx="10">
                  <c:v>633496</c:v>
                </c:pt>
                <c:pt idx="11">
                  <c:v>686382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AE9-4B54-BF35-6FF40FFD9429}"/>
            </c:ext>
          </c:extLst>
        </c:ser>
        <c:ser>
          <c:idx val="1"/>
          <c:order val="1"/>
          <c:tx>
            <c:v>Fontes nao renovaveis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Flores!$BG$22:$BR$22</c:f>
              <c:numCache>
                <c:formatCode>General</c:formatCode>
                <c:ptCount val="12"/>
                <c:pt idx="0">
                  <c:v>515820</c:v>
                </c:pt>
                <c:pt idx="1">
                  <c:v>532717</c:v>
                </c:pt>
                <c:pt idx="2">
                  <c:v>297324</c:v>
                </c:pt>
                <c:pt idx="3">
                  <c:v>369949</c:v>
                </c:pt>
                <c:pt idx="4">
                  <c:v>484087</c:v>
                </c:pt>
                <c:pt idx="5">
                  <c:v>532498</c:v>
                </c:pt>
                <c:pt idx="6">
                  <c:v>845775</c:v>
                </c:pt>
                <c:pt idx="7">
                  <c:v>891919</c:v>
                </c:pt>
                <c:pt idx="8">
                  <c:v>659151</c:v>
                </c:pt>
                <c:pt idx="9">
                  <c:v>520021</c:v>
                </c:pt>
                <c:pt idx="10">
                  <c:v>341719</c:v>
                </c:pt>
                <c:pt idx="11">
                  <c:v>332116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AE9-4B54-BF35-6FF40FFD94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339390472"/>
        <c:axId val="2392072"/>
      </c:barChart>
      <c:catAx>
        <c:axId val="1339390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392072"/>
        <c:crosses val="autoZero"/>
        <c:auto val="1"/>
        <c:lblAlgn val="ctr"/>
        <c:lblOffset val="100"/>
        <c:noMultiLvlLbl val="0"/>
      </c:catAx>
      <c:valAx>
        <c:axId val="2392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339390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Flores!$CD$41:$CM$41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Flores!$CD$43:$CM$43</c:f>
              <c:numCache>
                <c:formatCode>General</c:formatCode>
                <c:ptCount val="10"/>
                <c:pt idx="0">
                  <c:v>2269.2371403661728</c:v>
                </c:pt>
                <c:pt idx="1">
                  <c:v>2080.1340453356588</c:v>
                </c:pt>
                <c:pt idx="2">
                  <c:v>2080.1340453356588</c:v>
                </c:pt>
                <c:pt idx="3">
                  <c:v>2269.2371403661728</c:v>
                </c:pt>
                <c:pt idx="4">
                  <c:v>3025.6495204882308</c:v>
                </c:pt>
                <c:pt idx="5">
                  <c:v>3025.6495204882308</c:v>
                </c:pt>
                <c:pt idx="6">
                  <c:v>2836.5464254577159</c:v>
                </c:pt>
                <c:pt idx="7">
                  <c:v>2836.5464254577159</c:v>
                </c:pt>
                <c:pt idx="8">
                  <c:v>3782.0619006102879</c:v>
                </c:pt>
                <c:pt idx="9">
                  <c:v>3782.0619006102879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3BD-4E48-9FFE-D3CF47F23DD0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Flores!$CD$41:$CM$41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Flores!$CD$51:$CM$51</c:f>
              <c:numCache>
                <c:formatCode>General</c:formatCode>
                <c:ptCount val="10"/>
                <c:pt idx="0">
                  <c:v>1557.2600687849124</c:v>
                </c:pt>
                <c:pt idx="1">
                  <c:v>1566.6942932737657</c:v>
                </c:pt>
                <c:pt idx="2">
                  <c:v>1622.0455228428398</c:v>
                </c:pt>
                <c:pt idx="3">
                  <c:v>1565.0087239432273</c:v>
                </c:pt>
                <c:pt idx="4">
                  <c:v>1652.6412851607918</c:v>
                </c:pt>
                <c:pt idx="5">
                  <c:v>1589.5621715901796</c:v>
                </c:pt>
                <c:pt idx="6">
                  <c:v>1578.1804790067588</c:v>
                </c:pt>
                <c:pt idx="7">
                  <c:v>1627.631608658095</c:v>
                </c:pt>
                <c:pt idx="8">
                  <c:v>1567.3158937078135</c:v>
                </c:pt>
                <c:pt idx="9">
                  <c:v>1624.853501418713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3BD-4E48-9FFE-D3CF47F23D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42736903"/>
        <c:axId val="542738951"/>
      </c:lineChart>
      <c:catAx>
        <c:axId val="542736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42738951"/>
        <c:crosses val="autoZero"/>
        <c:auto val="1"/>
        <c:lblAlgn val="ctr"/>
        <c:lblOffset val="100"/>
        <c:noMultiLvlLbl val="0"/>
      </c:catAx>
      <c:valAx>
        <c:axId val="5427389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42736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Flores!$CD$41:$CM$41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Flores!$CD$45:$CM$45</c:f>
              <c:numCache>
                <c:formatCode>General</c:formatCode>
                <c:ptCount val="10"/>
                <c:pt idx="0">
                  <c:v>109.74716447785907</c:v>
                </c:pt>
                <c:pt idx="1">
                  <c:v>119.18138872847339</c:v>
                </c:pt>
                <c:pt idx="2">
                  <c:v>174.53261886566003</c:v>
                </c:pt>
                <c:pt idx="3">
                  <c:v>117.4958066429124</c:v>
                </c:pt>
                <c:pt idx="4">
                  <c:v>204.16083235090022</c:v>
                </c:pt>
                <c:pt idx="5">
                  <c:v>140.45788743410014</c:v>
                </c:pt>
                <c:pt idx="6">
                  <c:v>128.84300759296903</c:v>
                </c:pt>
                <c:pt idx="7">
                  <c:v>178.45438005811451</c:v>
                </c:pt>
                <c:pt idx="8">
                  <c:v>119.7863166273934</c:v>
                </c:pt>
                <c:pt idx="9">
                  <c:v>177.34059722161777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07-4D98-9501-3D8FFEA2F6F5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Flores!$CD$41:$CM$41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Flores!$CD$47:$CM$47</c:f>
              <c:numCache>
                <c:formatCode>General</c:formatCode>
                <c:ptCount val="10"/>
                <c:pt idx="0">
                  <c:v>1.0812469801333413E-6</c:v>
                </c:pt>
                <c:pt idx="1">
                  <c:v>1.3194857025225832E-6</c:v>
                </c:pt>
                <c:pt idx="2">
                  <c:v>7.5137333886757908E-7</c:v>
                </c:pt>
                <c:pt idx="3">
                  <c:v>1.4074508479125204E-5</c:v>
                </c:pt>
                <c:pt idx="4">
                  <c:v>0.96754958408517144</c:v>
                </c:pt>
                <c:pt idx="5">
                  <c:v>1.5913809302729596</c:v>
                </c:pt>
                <c:pt idx="6">
                  <c:v>1.8245681879833027</c:v>
                </c:pt>
                <c:pt idx="7">
                  <c:v>1.6643253741739827</c:v>
                </c:pt>
                <c:pt idx="8">
                  <c:v>1.6673854613581944E-2</c:v>
                </c:pt>
                <c:pt idx="9">
                  <c:v>9.7128875884447978E-7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C07-4D98-9501-3D8FFEA2F6F5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Flores!$CD$41:$CM$41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Flores!$CD$48:$CM$48</c:f>
              <c:numCache>
                <c:formatCode>General</c:formatCode>
                <c:ptCount val="10"/>
                <c:pt idx="0">
                  <c:v>1447.5129032258064</c:v>
                </c:pt>
                <c:pt idx="1">
                  <c:v>1447.5129032258064</c:v>
                </c:pt>
                <c:pt idx="2">
                  <c:v>1447.5129032258064</c:v>
                </c:pt>
                <c:pt idx="3">
                  <c:v>1447.5129032258064</c:v>
                </c:pt>
                <c:pt idx="4">
                  <c:v>1447.5129032258064</c:v>
                </c:pt>
                <c:pt idx="5">
                  <c:v>1447.5129032258064</c:v>
                </c:pt>
                <c:pt idx="6">
                  <c:v>1447.5129032258064</c:v>
                </c:pt>
                <c:pt idx="7">
                  <c:v>1447.5129032258064</c:v>
                </c:pt>
                <c:pt idx="8">
                  <c:v>1447.5129032258064</c:v>
                </c:pt>
                <c:pt idx="9">
                  <c:v>1447.5129032258064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2C07-4D98-9501-3D8FFEA2F6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331719"/>
        <c:axId val="17333767"/>
      </c:lineChart>
      <c:catAx>
        <c:axId val="173317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7333767"/>
        <c:crosses val="autoZero"/>
        <c:auto val="1"/>
        <c:lblAlgn val="ctr"/>
        <c:lblOffset val="100"/>
        <c:noMultiLvlLbl val="0"/>
      </c:catAx>
      <c:valAx>
        <c:axId val="17333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73317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Consumo vs prod energia renovaveis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Consumo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Miguel'!$BO$137:$BX$137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Miguel'!$BO$139:$BX$139</c:f>
              <c:numCache>
                <c:formatCode>General</c:formatCode>
                <c:ptCount val="10"/>
                <c:pt idx="0">
                  <c:v>88876.561647700553</c:v>
                </c:pt>
                <c:pt idx="1">
                  <c:v>77766.991441737991</c:v>
                </c:pt>
                <c:pt idx="2">
                  <c:v>77766.991441737991</c:v>
                </c:pt>
                <c:pt idx="3">
                  <c:v>94431.346750681842</c:v>
                </c:pt>
                <c:pt idx="4">
                  <c:v>133314.84247155083</c:v>
                </c:pt>
                <c:pt idx="5">
                  <c:v>128871.01438916581</c:v>
                </c:pt>
                <c:pt idx="6">
                  <c:v>133314.84247155083</c:v>
                </c:pt>
                <c:pt idx="7">
                  <c:v>128871.01438916581</c:v>
                </c:pt>
                <c:pt idx="8">
                  <c:v>155533.98288347598</c:v>
                </c:pt>
                <c:pt idx="9">
                  <c:v>124427.18630678077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370-4AB2-A823-EA8D1A0EEC45}"/>
            </c:ext>
          </c:extLst>
        </c:ser>
        <c:ser>
          <c:idx val="1"/>
          <c:order val="1"/>
          <c:tx>
            <c:v>produção de energia por renovaveis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Miguel'!$BO$137:$BX$137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Miguel'!$BO$147:$BX$147</c:f>
              <c:numCache>
                <c:formatCode>General</c:formatCode>
                <c:ptCount val="10"/>
                <c:pt idx="0">
                  <c:v>61511.198092872117</c:v>
                </c:pt>
                <c:pt idx="1">
                  <c:v>61606.112846958553</c:v>
                </c:pt>
                <c:pt idx="2">
                  <c:v>63331.893483449217</c:v>
                </c:pt>
                <c:pt idx="3">
                  <c:v>61813.879501566167</c:v>
                </c:pt>
                <c:pt idx="4">
                  <c:v>65059.163401792146</c:v>
                </c:pt>
                <c:pt idx="5">
                  <c:v>63620.842859745477</c:v>
                </c:pt>
                <c:pt idx="6">
                  <c:v>64042.013692397399</c:v>
                </c:pt>
                <c:pt idx="7">
                  <c:v>66491.690974745434</c:v>
                </c:pt>
                <c:pt idx="8">
                  <c:v>62144.720206359176</c:v>
                </c:pt>
                <c:pt idx="9">
                  <c:v>64231.581714307817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370-4AB2-A823-EA8D1A0EE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48432392"/>
        <c:axId val="106457095"/>
      </c:lineChart>
      <c:catAx>
        <c:axId val="1948432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6457095"/>
        <c:crosses val="autoZero"/>
        <c:auto val="1"/>
        <c:lblAlgn val="ctr"/>
        <c:lblOffset val="100"/>
        <c:noMultiLvlLbl val="0"/>
      </c:catAx>
      <c:valAx>
        <c:axId val="1064570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948432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Flores!$CU$41:$DD$41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Flores!$CU$43:$DD$43</c:f>
              <c:numCache>
                <c:formatCode>General</c:formatCode>
                <c:ptCount val="10"/>
                <c:pt idx="0">
                  <c:v>2588.0892857142853</c:v>
                </c:pt>
                <c:pt idx="1">
                  <c:v>2372.4151785714289</c:v>
                </c:pt>
                <c:pt idx="2">
                  <c:v>2372.4151785714289</c:v>
                </c:pt>
                <c:pt idx="3">
                  <c:v>2588.0892857142853</c:v>
                </c:pt>
                <c:pt idx="4">
                  <c:v>3235.1116071428569</c:v>
                </c:pt>
                <c:pt idx="5">
                  <c:v>3235.1116071428569</c:v>
                </c:pt>
                <c:pt idx="6">
                  <c:v>3019.4374999999995</c:v>
                </c:pt>
                <c:pt idx="7">
                  <c:v>3019.4374999999995</c:v>
                </c:pt>
                <c:pt idx="8">
                  <c:v>4313.4821428571431</c:v>
                </c:pt>
                <c:pt idx="9">
                  <c:v>4313.4821428571431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C2-4EB5-A8B6-03EE61E02B7A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Flores!$CU$41:$DD$41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Flores!$CU$51:$DD$51</c:f>
              <c:numCache>
                <c:formatCode>General</c:formatCode>
                <c:ptCount val="10"/>
                <c:pt idx="0">
                  <c:v>1264.7568308310147</c:v>
                </c:pt>
                <c:pt idx="1">
                  <c:v>1270.9167720008179</c:v>
                </c:pt>
                <c:pt idx="2">
                  <c:v>1336.9104993672192</c:v>
                </c:pt>
                <c:pt idx="3">
                  <c:v>1250.7429477710637</c:v>
                </c:pt>
                <c:pt idx="4">
                  <c:v>1346.2681790542838</c:v>
                </c:pt>
                <c:pt idx="5">
                  <c:v>1286.6671752474876</c:v>
                </c:pt>
                <c:pt idx="6">
                  <c:v>1292.6683768963758</c:v>
                </c:pt>
                <c:pt idx="7">
                  <c:v>1373.5586731196049</c:v>
                </c:pt>
                <c:pt idx="8">
                  <c:v>1271.1074642977469</c:v>
                </c:pt>
                <c:pt idx="9">
                  <c:v>1373.8316528429571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5C2-4EB5-A8B6-03EE61E02B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93939720"/>
        <c:axId val="293949960"/>
      </c:lineChart>
      <c:catAx>
        <c:axId val="293939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93949960"/>
        <c:crosses val="autoZero"/>
        <c:auto val="1"/>
        <c:lblAlgn val="ctr"/>
        <c:lblOffset val="100"/>
        <c:noMultiLvlLbl val="0"/>
      </c:catAx>
      <c:valAx>
        <c:axId val="293949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93939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Flores!$CU$41:$DD$41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Flores!$CU$45:$DD$45</c:f>
              <c:numCache>
                <c:formatCode>General</c:formatCode>
                <c:ptCount val="10"/>
                <c:pt idx="0">
                  <c:v>168.52468706159155</c:v>
                </c:pt>
                <c:pt idx="1">
                  <c:v>174.68462829359888</c:v>
                </c:pt>
                <c:pt idx="2">
                  <c:v>240.67835478918485</c:v>
                </c:pt>
                <c:pt idx="3">
                  <c:v>154.51008634895814</c:v>
                </c:pt>
                <c:pt idx="4">
                  <c:v>248.46007955272225</c:v>
                </c:pt>
                <c:pt idx="5">
                  <c:v>188.37000996654473</c:v>
                </c:pt>
                <c:pt idx="6">
                  <c:v>194.46815931303871</c:v>
                </c:pt>
                <c:pt idx="7">
                  <c:v>275.40539061862597</c:v>
                </c:pt>
                <c:pt idx="8">
                  <c:v>174.79909518953522</c:v>
                </c:pt>
                <c:pt idx="9">
                  <c:v>277.59950886619987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87-4741-A383-728494EDA1A8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Flores!$CU$41:$DD$41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Flores!$CU$47:$DD$47</c:f>
              <c:numCache>
                <c:formatCode>General</c:formatCode>
                <c:ptCount val="10"/>
                <c:pt idx="0">
                  <c:v>9.1228032208084359E-7</c:v>
                </c:pt>
                <c:pt idx="1">
                  <c:v>8.5007613735992004E-7</c:v>
                </c:pt>
                <c:pt idx="2">
                  <c:v>1.7208915311820831E-6</c:v>
                </c:pt>
                <c:pt idx="3">
                  <c:v>7.1856496270349113E-4</c:v>
                </c:pt>
                <c:pt idx="4">
                  <c:v>1.5759566444187518</c:v>
                </c:pt>
                <c:pt idx="5">
                  <c:v>2.0650224237999169</c:v>
                </c:pt>
                <c:pt idx="6">
                  <c:v>1.9680747261940967</c:v>
                </c:pt>
                <c:pt idx="7">
                  <c:v>1.9211396438361432</c:v>
                </c:pt>
                <c:pt idx="8">
                  <c:v>7.6226251068887835E-2</c:v>
                </c:pt>
                <c:pt idx="9">
                  <c:v>1.1196143681428806E-6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D87-4741-A383-728494EDA1A8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Flores!$CU$41:$DD$41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Flores!$CU$48:$DD$48</c:f>
              <c:numCache>
                <c:formatCode>General</c:formatCode>
                <c:ptCount val="10"/>
                <c:pt idx="0">
                  <c:v>1096.2321428571429</c:v>
                </c:pt>
                <c:pt idx="1">
                  <c:v>1096.2321428571429</c:v>
                </c:pt>
                <c:pt idx="2">
                  <c:v>1096.2321428571429</c:v>
                </c:pt>
                <c:pt idx="3">
                  <c:v>1096.2321428571429</c:v>
                </c:pt>
                <c:pt idx="4">
                  <c:v>1096.2321428571429</c:v>
                </c:pt>
                <c:pt idx="5">
                  <c:v>1096.2321428571429</c:v>
                </c:pt>
                <c:pt idx="6">
                  <c:v>1096.2321428571429</c:v>
                </c:pt>
                <c:pt idx="7">
                  <c:v>1096.2321428571429</c:v>
                </c:pt>
                <c:pt idx="8">
                  <c:v>1096.2321428571429</c:v>
                </c:pt>
                <c:pt idx="9">
                  <c:v>1096.2321428571429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D87-4741-A383-728494EDA1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93966344"/>
        <c:axId val="293968392"/>
      </c:lineChart>
      <c:catAx>
        <c:axId val="2939663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93968392"/>
        <c:crosses val="autoZero"/>
        <c:auto val="1"/>
        <c:lblAlgn val="ctr"/>
        <c:lblOffset val="100"/>
        <c:noMultiLvlLbl val="0"/>
      </c:catAx>
      <c:valAx>
        <c:axId val="293968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939663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RES production vs Consumption - March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Consumption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Flores!$DJ$41:$DS$41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Flores!$DJ$43:$DS$43</c:f>
              <c:numCache>
                <c:formatCode>General</c:formatCode>
                <c:ptCount val="10"/>
                <c:pt idx="0">
                  <c:v>2567.4792295196094</c:v>
                </c:pt>
                <c:pt idx="1">
                  <c:v>2353.5226270596427</c:v>
                </c:pt>
                <c:pt idx="2">
                  <c:v>2353.5226270596427</c:v>
                </c:pt>
                <c:pt idx="3">
                  <c:v>2567.4792295196094</c:v>
                </c:pt>
                <c:pt idx="4">
                  <c:v>3209.3490368995122</c:v>
                </c:pt>
                <c:pt idx="5">
                  <c:v>2995.3924344395446</c:v>
                </c:pt>
                <c:pt idx="6">
                  <c:v>2781.4358319795774</c:v>
                </c:pt>
                <c:pt idx="7">
                  <c:v>2781.4358319795774</c:v>
                </c:pt>
                <c:pt idx="8">
                  <c:v>4279.1320491993492</c:v>
                </c:pt>
                <c:pt idx="9">
                  <c:v>3851.2188442794145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70-442E-8EB3-FF67066BE37E}"/>
            </c:ext>
          </c:extLst>
        </c:ser>
        <c:ser>
          <c:idx val="1"/>
          <c:order val="1"/>
          <c:tx>
            <c:v>RES production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Flores!$DJ$41:$DS$41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Flores!$DJ$51:$DS$51</c:f>
              <c:numCache>
                <c:formatCode>General</c:formatCode>
                <c:ptCount val="10"/>
                <c:pt idx="0">
                  <c:v>2219.0777476141284</c:v>
                </c:pt>
                <c:pt idx="1">
                  <c:v>2230.5439511952391</c:v>
                </c:pt>
                <c:pt idx="2">
                  <c:v>2352.3248545140054</c:v>
                </c:pt>
                <c:pt idx="3">
                  <c:v>2247.9165630801594</c:v>
                </c:pt>
                <c:pt idx="4">
                  <c:v>2409.9560301127794</c:v>
                </c:pt>
                <c:pt idx="5">
                  <c:v>2290.3827485599063</c:v>
                </c:pt>
                <c:pt idx="6">
                  <c:v>2288.8380784151523</c:v>
                </c:pt>
                <c:pt idx="7">
                  <c:v>2376.3489418963923</c:v>
                </c:pt>
                <c:pt idx="8">
                  <c:v>2204.0494308420971</c:v>
                </c:pt>
                <c:pt idx="9">
                  <c:v>2324.4971376411063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470-442E-8EB3-FF67066BE3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92847367"/>
        <c:axId val="392849415"/>
      </c:lineChart>
      <c:catAx>
        <c:axId val="3928473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92849415"/>
        <c:crosses val="autoZero"/>
        <c:auto val="1"/>
        <c:lblAlgn val="ctr"/>
        <c:lblOffset val="100"/>
        <c:noMultiLvlLbl val="0"/>
      </c:catAx>
      <c:valAx>
        <c:axId val="3928494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928473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Flores!$DJ$41:$DS$41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Flores!$DJ$45:$DS$45</c:f>
              <c:numCache>
                <c:formatCode>General</c:formatCode>
                <c:ptCount val="10"/>
                <c:pt idx="0">
                  <c:v>221.43903496761823</c:v>
                </c:pt>
                <c:pt idx="1">
                  <c:v>232.90523757565646</c:v>
                </c:pt>
                <c:pt idx="2">
                  <c:v>354.68614294035541</c:v>
                </c:pt>
                <c:pt idx="3">
                  <c:v>250.22059524324914</c:v>
                </c:pt>
                <c:pt idx="4">
                  <c:v>410.17448786997596</c:v>
                </c:pt>
                <c:pt idx="5">
                  <c:v>290.78447299160126</c:v>
                </c:pt>
                <c:pt idx="6">
                  <c:v>289.35497456296599</c:v>
                </c:pt>
                <c:pt idx="7">
                  <c:v>376.09268161915679</c:v>
                </c:pt>
                <c:pt idx="8">
                  <c:v>206.16137065658464</c:v>
                </c:pt>
                <c:pt idx="9">
                  <c:v>326.85842092767462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234-4F39-BE7E-9B7858686452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Flores!$DJ$41:$DS$41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Flores!$DJ$47:$DS$47</c:f>
              <c:numCache>
                <c:formatCode>General</c:formatCode>
                <c:ptCount val="10"/>
                <c:pt idx="0">
                  <c:v>2.9690911644697706E-6</c:v>
                </c:pt>
                <c:pt idx="1">
                  <c:v>3.9421634299138218E-6</c:v>
                </c:pt>
                <c:pt idx="2">
                  <c:v>1.8962307161952462E-6</c:v>
                </c:pt>
                <c:pt idx="3">
                  <c:v>5.7258159491101641E-2</c:v>
                </c:pt>
                <c:pt idx="4">
                  <c:v>2.1428325653845</c:v>
                </c:pt>
                <c:pt idx="5">
                  <c:v>1.9595658908857758</c:v>
                </c:pt>
                <c:pt idx="6">
                  <c:v>1.8443941747670778</c:v>
                </c:pt>
                <c:pt idx="7">
                  <c:v>2.6175505998161697</c:v>
                </c:pt>
                <c:pt idx="8">
                  <c:v>0.24935050809310372</c:v>
                </c:pt>
                <c:pt idx="9">
                  <c:v>7.0360124466813064E-6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234-4F39-BE7E-9B7858686452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Flores!$DJ$41:$DS$41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Flores!$DJ$48:$DS$48</c:f>
              <c:numCache>
                <c:formatCode>General</c:formatCode>
                <c:ptCount val="10"/>
                <c:pt idx="0">
                  <c:v>1997.6387096774192</c:v>
                </c:pt>
                <c:pt idx="1">
                  <c:v>1997.6387096774192</c:v>
                </c:pt>
                <c:pt idx="2">
                  <c:v>1997.6387096774192</c:v>
                </c:pt>
                <c:pt idx="3">
                  <c:v>1997.6387096774192</c:v>
                </c:pt>
                <c:pt idx="4">
                  <c:v>1997.6387096774192</c:v>
                </c:pt>
                <c:pt idx="5">
                  <c:v>1997.6387096774192</c:v>
                </c:pt>
                <c:pt idx="6">
                  <c:v>1997.6387096774192</c:v>
                </c:pt>
                <c:pt idx="7">
                  <c:v>1997.6387096774192</c:v>
                </c:pt>
                <c:pt idx="8">
                  <c:v>1997.6387096774192</c:v>
                </c:pt>
                <c:pt idx="9">
                  <c:v>1997.6387096774192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234-4F39-BE7E-9B78586864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92873991"/>
        <c:axId val="533921799"/>
      </c:lineChart>
      <c:catAx>
        <c:axId val="3928739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33921799"/>
        <c:crosses val="autoZero"/>
        <c:auto val="1"/>
        <c:lblAlgn val="ctr"/>
        <c:lblOffset val="100"/>
        <c:noMultiLvlLbl val="0"/>
      </c:catAx>
      <c:valAx>
        <c:axId val="5339217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928739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RES production vs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Flores!$DY$41:$EH$41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Flores!$DY$43:$EH$43</c:f>
              <c:numCache>
                <c:formatCode>General</c:formatCode>
                <c:ptCount val="10"/>
                <c:pt idx="0">
                  <c:v>2526.6656826568264</c:v>
                </c:pt>
                <c:pt idx="1">
                  <c:v>2316.1102091020907</c:v>
                </c:pt>
                <c:pt idx="2">
                  <c:v>2316.1102091020907</c:v>
                </c:pt>
                <c:pt idx="3">
                  <c:v>2526.6656826568264</c:v>
                </c:pt>
                <c:pt idx="4">
                  <c:v>3053.0543665436653</c:v>
                </c:pt>
                <c:pt idx="5">
                  <c:v>2947.7766297662974</c:v>
                </c:pt>
                <c:pt idx="6">
                  <c:v>2737.2211562115622</c:v>
                </c:pt>
                <c:pt idx="7">
                  <c:v>2737.2211562115622</c:v>
                </c:pt>
                <c:pt idx="8">
                  <c:v>3789.9985239852399</c:v>
                </c:pt>
                <c:pt idx="9">
                  <c:v>3579.4430504305042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D2B-4EF2-8A00-012AA91935D5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Flores!$DY$41:$EH$41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Flores!$DY$51:$EH$51</c:f>
              <c:numCache>
                <c:formatCode>General</c:formatCode>
                <c:ptCount val="10"/>
                <c:pt idx="0">
                  <c:v>1907.6374842440787</c:v>
                </c:pt>
                <c:pt idx="1">
                  <c:v>1909.7614874895457</c:v>
                </c:pt>
                <c:pt idx="2">
                  <c:v>1965.5338114806295</c:v>
                </c:pt>
                <c:pt idx="3">
                  <c:v>1922.7969924913937</c:v>
                </c:pt>
                <c:pt idx="4">
                  <c:v>1996.6468557628712</c:v>
                </c:pt>
                <c:pt idx="5">
                  <c:v>1941.0027836801758</c:v>
                </c:pt>
                <c:pt idx="6">
                  <c:v>1943.1833998001127</c:v>
                </c:pt>
                <c:pt idx="7">
                  <c:v>1999.7814758508794</c:v>
                </c:pt>
                <c:pt idx="8">
                  <c:v>1917.0205649784518</c:v>
                </c:pt>
                <c:pt idx="9">
                  <c:v>1958.0351442218623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D2B-4EF2-8A00-012AA91935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3961223"/>
        <c:axId val="533967367"/>
      </c:lineChart>
      <c:catAx>
        <c:axId val="5339612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33967367"/>
        <c:crosses val="autoZero"/>
        <c:auto val="1"/>
        <c:lblAlgn val="ctr"/>
        <c:lblOffset val="100"/>
        <c:noMultiLvlLbl val="0"/>
      </c:catAx>
      <c:valAx>
        <c:axId val="5339673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33961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Flores!$DY$41:$EH$41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Flores!$DY$45:$EH$45</c:f>
              <c:numCache>
                <c:formatCode>General</c:formatCode>
                <c:ptCount val="10"/>
                <c:pt idx="0">
                  <c:v>94.217479927909693</c:v>
                </c:pt>
                <c:pt idx="1">
                  <c:v>96.341483722708702</c:v>
                </c:pt>
                <c:pt idx="2">
                  <c:v>152.11380169731552</c:v>
                </c:pt>
                <c:pt idx="3">
                  <c:v>109.06239431954361</c:v>
                </c:pt>
                <c:pt idx="4">
                  <c:v>180.56066068077456</c:v>
                </c:pt>
                <c:pt idx="5">
                  <c:v>125.62685041347247</c:v>
                </c:pt>
                <c:pt idx="6">
                  <c:v>127.78459790900936</c:v>
                </c:pt>
                <c:pt idx="7">
                  <c:v>183.25738279855938</c:v>
                </c:pt>
                <c:pt idx="8">
                  <c:v>103.08837365574193</c:v>
                </c:pt>
                <c:pt idx="9">
                  <c:v>144.61364154163138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19-4788-A1EC-9D7E4184463E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Flores!$DY$41:$EH$41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Flores!$DY$47:$EH$47</c:f>
              <c:numCache>
                <c:formatCode>General</c:formatCode>
                <c:ptCount val="10"/>
                <c:pt idx="0">
                  <c:v>4.316168999035003E-6</c:v>
                </c:pt>
                <c:pt idx="1">
                  <c:v>3.7668370293989017E-6</c:v>
                </c:pt>
                <c:pt idx="2">
                  <c:v>9.7833138865879872E-6</c:v>
                </c:pt>
                <c:pt idx="3">
                  <c:v>0.31459817185005096</c:v>
                </c:pt>
                <c:pt idx="4">
                  <c:v>2.6661950820964981</c:v>
                </c:pt>
                <c:pt idx="5">
                  <c:v>1.9559332667031888</c:v>
                </c:pt>
                <c:pt idx="6">
                  <c:v>1.9788018911032612</c:v>
                </c:pt>
                <c:pt idx="7">
                  <c:v>3.1040930523197887</c:v>
                </c:pt>
                <c:pt idx="8">
                  <c:v>0.51219132270987355</c:v>
                </c:pt>
                <c:pt idx="9">
                  <c:v>1.5026802307580322E-3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A19-4788-A1EC-9D7E4184463E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Flores!$DY$41:$EH$41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Flores!$DY$48:$EH$48</c:f>
              <c:numCache>
                <c:formatCode>General</c:formatCode>
                <c:ptCount val="10"/>
                <c:pt idx="0">
                  <c:v>1813.42</c:v>
                </c:pt>
                <c:pt idx="1">
                  <c:v>1813.42</c:v>
                </c:pt>
                <c:pt idx="2">
                  <c:v>1813.42</c:v>
                </c:pt>
                <c:pt idx="3">
                  <c:v>1813.42</c:v>
                </c:pt>
                <c:pt idx="4">
                  <c:v>1813.42</c:v>
                </c:pt>
                <c:pt idx="5">
                  <c:v>1813.42</c:v>
                </c:pt>
                <c:pt idx="6">
                  <c:v>1813.42</c:v>
                </c:pt>
                <c:pt idx="7">
                  <c:v>1813.42</c:v>
                </c:pt>
                <c:pt idx="8">
                  <c:v>1813.42</c:v>
                </c:pt>
                <c:pt idx="9">
                  <c:v>1813.42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CA19-4788-A1EC-9D7E418446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06991623"/>
        <c:axId val="306993671"/>
      </c:lineChart>
      <c:catAx>
        <c:axId val="3069916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06993671"/>
        <c:crosses val="autoZero"/>
        <c:auto val="1"/>
        <c:lblAlgn val="ctr"/>
        <c:lblOffset val="100"/>
        <c:noMultiLvlLbl val="0"/>
      </c:catAx>
      <c:valAx>
        <c:axId val="3069936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069916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of energy by Renewable Sources vs Demand  - May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Flores!$CD$93:$CM$93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Flores!$CD$95:$CM$95</c:f>
              <c:numCache>
                <c:formatCode>General</c:formatCode>
                <c:ptCount val="10"/>
                <c:pt idx="0">
                  <c:v>1569.5649421789408</c:v>
                </c:pt>
                <c:pt idx="1">
                  <c:v>1438.7678636640294</c:v>
                </c:pt>
                <c:pt idx="2">
                  <c:v>1438.7678636640294</c:v>
                </c:pt>
                <c:pt idx="3">
                  <c:v>1569.5649421789408</c:v>
                </c:pt>
                <c:pt idx="4">
                  <c:v>1896.5576384662204</c:v>
                </c:pt>
                <c:pt idx="5">
                  <c:v>1831.1590992087642</c:v>
                </c:pt>
                <c:pt idx="6">
                  <c:v>1700.3620206938529</c:v>
                </c:pt>
                <c:pt idx="7">
                  <c:v>1700.3620206938529</c:v>
                </c:pt>
                <c:pt idx="8">
                  <c:v>2223.5503347534996</c:v>
                </c:pt>
                <c:pt idx="9">
                  <c:v>1961.9561777236763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037-4D9D-9D4D-6EA3173682A4}"/>
            </c:ext>
          </c:extLst>
        </c:ser>
        <c:ser>
          <c:idx val="1"/>
          <c:order val="1"/>
          <c:tx>
            <c:v>energy production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Flores!$CD$93:$CM$93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Flores!$CD$103:$CM$103</c:f>
              <c:numCache>
                <c:formatCode>General</c:formatCode>
                <c:ptCount val="10"/>
                <c:pt idx="0">
                  <c:v>1661.3331851902767</c:v>
                </c:pt>
                <c:pt idx="1">
                  <c:v>1662.700226044504</c:v>
                </c:pt>
                <c:pt idx="2">
                  <c:v>1701.0101015565435</c:v>
                </c:pt>
                <c:pt idx="3">
                  <c:v>1658.0462010375145</c:v>
                </c:pt>
                <c:pt idx="4">
                  <c:v>1719.3067480273526</c:v>
                </c:pt>
                <c:pt idx="5">
                  <c:v>1682.2763219149556</c:v>
                </c:pt>
                <c:pt idx="6">
                  <c:v>1687.3133012930386</c:v>
                </c:pt>
                <c:pt idx="7">
                  <c:v>1732.0812016086916</c:v>
                </c:pt>
                <c:pt idx="8">
                  <c:v>1665.4772336828196</c:v>
                </c:pt>
                <c:pt idx="9">
                  <c:v>1704.8425764184972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037-4D9D-9D4D-6EA3173682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07015175"/>
        <c:axId val="307029511"/>
      </c:lineChart>
      <c:catAx>
        <c:axId val="3070151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07029511"/>
        <c:crosses val="autoZero"/>
        <c:auto val="1"/>
        <c:lblAlgn val="ctr"/>
        <c:lblOffset val="100"/>
        <c:noMultiLvlLbl val="0"/>
      </c:catAx>
      <c:valAx>
        <c:axId val="3070295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[kWh]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070151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Flores!$CD$93:$CM$93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Flores!$CD$97:$CM$97</c:f>
              <c:numCache>
                <c:formatCode>General</c:formatCode>
                <c:ptCount val="10"/>
                <c:pt idx="0">
                  <c:v>91.094473958975783</c:v>
                </c:pt>
                <c:pt idx="1">
                  <c:v>92.461515745531941</c:v>
                </c:pt>
                <c:pt idx="2">
                  <c:v>130.77025829201884</c:v>
                </c:pt>
                <c:pt idx="3">
                  <c:v>87.301153342233377</c:v>
                </c:pt>
                <c:pt idx="4">
                  <c:v>146.9444010818938</c:v>
                </c:pt>
                <c:pt idx="5">
                  <c:v>110.46161911661878</c:v>
                </c:pt>
                <c:pt idx="6">
                  <c:v>115.28377406290657</c:v>
                </c:pt>
                <c:pt idx="7">
                  <c:v>159.15899784227361</c:v>
                </c:pt>
                <c:pt idx="8">
                  <c:v>94.612641215809461</c:v>
                </c:pt>
                <c:pt idx="9">
                  <c:v>134.58858469657648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365-4C2C-9DF2-8E72B1A9B2B8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Flores!$CD$93:$CM$93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Flores!$CD$99:$CM$99</c:f>
              <c:numCache>
                <c:formatCode>General</c:formatCode>
                <c:ptCount val="10"/>
                <c:pt idx="0">
                  <c:v>1.5538815220437941E-6</c:v>
                </c:pt>
                <c:pt idx="1">
                  <c:v>6.215526088175177E-7</c:v>
                </c:pt>
                <c:pt idx="2">
                  <c:v>1.1335871052940115E-3</c:v>
                </c:pt>
                <c:pt idx="3">
                  <c:v>0.50633801786178889</c:v>
                </c:pt>
                <c:pt idx="4">
                  <c:v>2.1236372680394191</c:v>
                </c:pt>
                <c:pt idx="5">
                  <c:v>1.5759931209173361</c:v>
                </c:pt>
                <c:pt idx="6">
                  <c:v>1.7908175527127361</c:v>
                </c:pt>
                <c:pt idx="7">
                  <c:v>2.6834940889985202</c:v>
                </c:pt>
                <c:pt idx="8">
                  <c:v>0.6258827895907042</c:v>
                </c:pt>
                <c:pt idx="9">
                  <c:v>1.528204450135958E-2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365-4C2C-9DF2-8E72B1A9B2B8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Flores!$CD$93:$CM$93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Flores!$CD$100:$CM$100</c:f>
              <c:numCache>
                <c:formatCode>General</c:formatCode>
                <c:ptCount val="10"/>
                <c:pt idx="0">
                  <c:v>1570.2387096774194</c:v>
                </c:pt>
                <c:pt idx="1">
                  <c:v>1570.2387096774194</c:v>
                </c:pt>
                <c:pt idx="2">
                  <c:v>1570.2387096774194</c:v>
                </c:pt>
                <c:pt idx="3">
                  <c:v>1570.2387096774194</c:v>
                </c:pt>
                <c:pt idx="4">
                  <c:v>1570.2387096774194</c:v>
                </c:pt>
                <c:pt idx="5">
                  <c:v>1570.2387096774194</c:v>
                </c:pt>
                <c:pt idx="6">
                  <c:v>1570.2387096774194</c:v>
                </c:pt>
                <c:pt idx="7">
                  <c:v>1570.2387096774194</c:v>
                </c:pt>
                <c:pt idx="8">
                  <c:v>1570.2387096774194</c:v>
                </c:pt>
                <c:pt idx="9">
                  <c:v>1570.2387096774194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365-4C2C-9DF2-8E72B1A9B2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12203015"/>
        <c:axId val="1012167687"/>
      </c:lineChart>
      <c:catAx>
        <c:axId val="10122030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12167687"/>
        <c:crosses val="autoZero"/>
        <c:auto val="1"/>
        <c:lblAlgn val="ctr"/>
        <c:lblOffset val="100"/>
        <c:noMultiLvlLbl val="0"/>
      </c:catAx>
      <c:valAx>
        <c:axId val="1012167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122030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Flores!$CU$93:$DD$93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Flores!$CU$95:$DD$95</c:f>
              <c:numCache>
                <c:formatCode>General</c:formatCode>
                <c:ptCount val="10"/>
                <c:pt idx="0">
                  <c:v>4060.9962686567164</c:v>
                </c:pt>
                <c:pt idx="1">
                  <c:v>3436.2276119402986</c:v>
                </c:pt>
                <c:pt idx="2">
                  <c:v>3436.2276119402986</c:v>
                </c:pt>
                <c:pt idx="3">
                  <c:v>3748.6119402985073</c:v>
                </c:pt>
                <c:pt idx="4">
                  <c:v>4685.7649253731342</c:v>
                </c:pt>
                <c:pt idx="5">
                  <c:v>4373.3805970149251</c:v>
                </c:pt>
                <c:pt idx="6">
                  <c:v>4060.9962686567164</c:v>
                </c:pt>
                <c:pt idx="7">
                  <c:v>4060.9962686567164</c:v>
                </c:pt>
                <c:pt idx="8">
                  <c:v>5310.5335820895525</c:v>
                </c:pt>
                <c:pt idx="9">
                  <c:v>4685.7649253731342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772-43E9-B79B-A7D2BBAD5632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Flores!$CU$93:$DD$93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Flores!$CU$103:$DD$103</c:f>
              <c:numCache>
                <c:formatCode>General</c:formatCode>
                <c:ptCount val="10"/>
                <c:pt idx="0">
                  <c:v>1436.441428143085</c:v>
                </c:pt>
                <c:pt idx="1">
                  <c:v>1436.0416182328038</c:v>
                </c:pt>
                <c:pt idx="2">
                  <c:v>1496.5933881478988</c:v>
                </c:pt>
                <c:pt idx="3">
                  <c:v>1447.3640219347817</c:v>
                </c:pt>
                <c:pt idx="4">
                  <c:v>1533.2589223666953</c:v>
                </c:pt>
                <c:pt idx="5">
                  <c:v>1472.3504022781165</c:v>
                </c:pt>
                <c:pt idx="6">
                  <c:v>1475.3258952443766</c:v>
                </c:pt>
                <c:pt idx="7">
                  <c:v>1554.1496349159902</c:v>
                </c:pt>
                <c:pt idx="8">
                  <c:v>1464.4419829935839</c:v>
                </c:pt>
                <c:pt idx="9">
                  <c:v>1504.3327057426679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772-43E9-B79B-A7D2BBAD56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4999815"/>
        <c:axId val="1680871431"/>
      </c:lineChart>
      <c:catAx>
        <c:axId val="1034999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680871431"/>
        <c:crosses val="autoZero"/>
        <c:auto val="1"/>
        <c:lblAlgn val="ctr"/>
        <c:lblOffset val="100"/>
        <c:noMultiLvlLbl val="0"/>
      </c:catAx>
      <c:valAx>
        <c:axId val="16808714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349998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7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Flores!$CU$93:$DD$93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Flores!$CU$97:$DD$97</c:f>
              <c:numCache>
                <c:formatCode>General</c:formatCode>
                <c:ptCount val="10"/>
                <c:pt idx="0">
                  <c:v>118.17142787554049</c:v>
                </c:pt>
                <c:pt idx="1">
                  <c:v>117.7716179652591</c:v>
                </c:pt>
                <c:pt idx="2">
                  <c:v>178.31948950397822</c:v>
                </c:pt>
                <c:pt idx="3">
                  <c:v>128.50412007630158</c:v>
                </c:pt>
                <c:pt idx="4">
                  <c:v>212.80423788677015</c:v>
                </c:pt>
                <c:pt idx="5">
                  <c:v>152.9036558481061</c:v>
                </c:pt>
                <c:pt idx="6">
                  <c:v>155.79854186896483</c:v>
                </c:pt>
                <c:pt idx="7">
                  <c:v>233.87964854639557</c:v>
                </c:pt>
                <c:pt idx="8">
                  <c:v>145.64852406657027</c:v>
                </c:pt>
                <c:pt idx="9">
                  <c:v>186.03206969544698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3D-4A5D-92D4-E8BF235B153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Flores!$CU$93:$DD$93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Flores!$CU$99:$DD$99</c:f>
              <c:numCache>
                <c:formatCode>General</c:formatCode>
                <c:ptCount val="10"/>
                <c:pt idx="0">
                  <c:v>2.6754461955736732E-7</c:v>
                </c:pt>
                <c:pt idx="1">
                  <c:v>2.6754461955736732E-7</c:v>
                </c:pt>
                <c:pt idx="2">
                  <c:v>3.8986439206951133E-3</c:v>
                </c:pt>
                <c:pt idx="3">
                  <c:v>0.58990185848005072</c:v>
                </c:pt>
                <c:pt idx="4">
                  <c:v>2.1846844799251501</c:v>
                </c:pt>
                <c:pt idx="5">
                  <c:v>1.176746430010406</c:v>
                </c:pt>
                <c:pt idx="6">
                  <c:v>1.2573533754119059</c:v>
                </c:pt>
                <c:pt idx="7">
                  <c:v>1.9999863695945705</c:v>
                </c:pt>
                <c:pt idx="8">
                  <c:v>0.52345892701372954</c:v>
                </c:pt>
                <c:pt idx="9">
                  <c:v>3.0636047220919775E-2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43D-4A5D-92D4-E8BF235B1539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Flores!$CU$93:$DD$93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Flores!$CU$100:$DD$100</c:f>
              <c:numCache>
                <c:formatCode>General</c:formatCode>
                <c:ptCount val="10"/>
                <c:pt idx="0">
                  <c:v>1318.27</c:v>
                </c:pt>
                <c:pt idx="1">
                  <c:v>1318.27</c:v>
                </c:pt>
                <c:pt idx="2">
                  <c:v>1318.27</c:v>
                </c:pt>
                <c:pt idx="3">
                  <c:v>1318.27</c:v>
                </c:pt>
                <c:pt idx="4">
                  <c:v>1318.27</c:v>
                </c:pt>
                <c:pt idx="5">
                  <c:v>1318.27</c:v>
                </c:pt>
                <c:pt idx="6">
                  <c:v>1318.27</c:v>
                </c:pt>
                <c:pt idx="7">
                  <c:v>1318.27</c:v>
                </c:pt>
                <c:pt idx="8">
                  <c:v>1318.27</c:v>
                </c:pt>
                <c:pt idx="9">
                  <c:v>1318.27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43D-4A5D-92D4-E8BF235B15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42750215"/>
        <c:axId val="542752263"/>
      </c:lineChart>
      <c:catAx>
        <c:axId val="5427502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42752263"/>
        <c:crosses val="autoZero"/>
        <c:auto val="1"/>
        <c:lblAlgn val="ctr"/>
        <c:lblOffset val="100"/>
        <c:noMultiLvlLbl val="0"/>
      </c:catAx>
      <c:valAx>
        <c:axId val="5427522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427502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v>Consumo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Miguel'!$CC$130:$CL$130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Miguel'!$CC$132:$CL$132</c:f>
              <c:numCache>
                <c:formatCode>General</c:formatCode>
                <c:ptCount val="10"/>
                <c:pt idx="0">
                  <c:v>90626.133868808567</c:v>
                </c:pt>
                <c:pt idx="1">
                  <c:v>79297.867135207503</c:v>
                </c:pt>
                <c:pt idx="2">
                  <c:v>79297.867135207503</c:v>
                </c:pt>
                <c:pt idx="3">
                  <c:v>90626.133868808567</c:v>
                </c:pt>
                <c:pt idx="4">
                  <c:v>131407.89410977243</c:v>
                </c:pt>
                <c:pt idx="5">
                  <c:v>135939.20080321285</c:v>
                </c:pt>
                <c:pt idx="6">
                  <c:v>140470.50749665327</c:v>
                </c:pt>
                <c:pt idx="7">
                  <c:v>131407.89410977243</c:v>
                </c:pt>
                <c:pt idx="8">
                  <c:v>124610.93406961179</c:v>
                </c:pt>
                <c:pt idx="9">
                  <c:v>124610.93406961179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4D0-4C89-9172-F1313B16AC7B}"/>
            </c:ext>
          </c:extLst>
        </c:ser>
        <c:ser>
          <c:idx val="1"/>
          <c:order val="1"/>
          <c:tx>
            <c:v>Produçao de energia renovavel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Miguel'!$CC$130:$CL$130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Miguel'!$CC$140:$CL$140</c:f>
              <c:numCache>
                <c:formatCode>General</c:formatCode>
                <c:ptCount val="10"/>
                <c:pt idx="0">
                  <c:v>65533.812020529578</c:v>
                </c:pt>
                <c:pt idx="1">
                  <c:v>65708.644638761296</c:v>
                </c:pt>
                <c:pt idx="2">
                  <c:v>69757.511783797599</c:v>
                </c:pt>
                <c:pt idx="3">
                  <c:v>66094.550636243162</c:v>
                </c:pt>
                <c:pt idx="4">
                  <c:v>73019.191171639337</c:v>
                </c:pt>
                <c:pt idx="5">
                  <c:v>69814.478022374824</c:v>
                </c:pt>
                <c:pt idx="6">
                  <c:v>69964.954154654712</c:v>
                </c:pt>
                <c:pt idx="7">
                  <c:v>74277.791519725215</c:v>
                </c:pt>
                <c:pt idx="8">
                  <c:v>66550.605257246032</c:v>
                </c:pt>
                <c:pt idx="9">
                  <c:v>70056.194128361545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4D0-4C89-9172-F1313B16AC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27763463"/>
        <c:axId val="327765511"/>
      </c:lineChart>
      <c:catAx>
        <c:axId val="3277634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27765511"/>
        <c:crosses val="autoZero"/>
        <c:auto val="1"/>
        <c:lblAlgn val="ctr"/>
        <c:lblOffset val="100"/>
        <c:noMultiLvlLbl val="0"/>
      </c:catAx>
      <c:valAx>
        <c:axId val="3277655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277634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8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Flores!$DJ$93:$DS$93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Flores!$DJ$95:$DS$95</c:f>
              <c:numCache>
                <c:formatCode>General</c:formatCode>
                <c:ptCount val="10"/>
                <c:pt idx="0">
                  <c:v>2906.2448194830167</c:v>
                </c:pt>
                <c:pt idx="1">
                  <c:v>2605.5988036744288</c:v>
                </c:pt>
                <c:pt idx="2">
                  <c:v>2605.5988036744288</c:v>
                </c:pt>
                <c:pt idx="3">
                  <c:v>2405.1681264687031</c:v>
                </c:pt>
                <c:pt idx="4">
                  <c:v>3307.1061738944668</c:v>
                </c:pt>
                <c:pt idx="5">
                  <c:v>3407.3215124973303</c:v>
                </c:pt>
                <c:pt idx="6">
                  <c:v>3407.3215124973303</c:v>
                </c:pt>
                <c:pt idx="7">
                  <c:v>2906.2448194830167</c:v>
                </c:pt>
                <c:pt idx="8">
                  <c:v>3507.536851100193</c:v>
                </c:pt>
                <c:pt idx="9">
                  <c:v>3206.8908352916051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CE-4636-9433-E57B8F9291C4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Flores!$DJ$93:$DS$93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Flores!$DJ$103:$DS$103</c:f>
              <c:numCache>
                <c:formatCode>General</c:formatCode>
                <c:ptCount val="10"/>
                <c:pt idx="0">
                  <c:v>706.19055183581622</c:v>
                </c:pt>
                <c:pt idx="1">
                  <c:v>699.20682998555071</c:v>
                </c:pt>
                <c:pt idx="2">
                  <c:v>748.17933230504059</c:v>
                </c:pt>
                <c:pt idx="3">
                  <c:v>706.04838798242804</c:v>
                </c:pt>
                <c:pt idx="4">
                  <c:v>807.98945794830047</c:v>
                </c:pt>
                <c:pt idx="5">
                  <c:v>761.73352661903516</c:v>
                </c:pt>
                <c:pt idx="6">
                  <c:v>759.9416680761102</c:v>
                </c:pt>
                <c:pt idx="7">
                  <c:v>825.03764915984391</c:v>
                </c:pt>
                <c:pt idx="8">
                  <c:v>728.02963647613797</c:v>
                </c:pt>
                <c:pt idx="9">
                  <c:v>747.54618541818854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CCE-4636-9433-E57B8F9291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5724167"/>
        <c:axId val="565726215"/>
      </c:lineChart>
      <c:catAx>
        <c:axId val="5657241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65726215"/>
        <c:crosses val="autoZero"/>
        <c:auto val="1"/>
        <c:lblAlgn val="ctr"/>
        <c:lblOffset val="100"/>
        <c:noMultiLvlLbl val="0"/>
      </c:catAx>
      <c:valAx>
        <c:axId val="5657262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657241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8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Flores!$DJ$93:$DS$93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Flores!$DJ$97:$DS$97</c:f>
              <c:numCache>
                <c:formatCode>General</c:formatCode>
                <c:ptCount val="10"/>
                <c:pt idx="0">
                  <c:v>87.319584093880792</c:v>
                </c:pt>
                <c:pt idx="1">
                  <c:v>80.335862243615239</c:v>
                </c:pt>
                <c:pt idx="2">
                  <c:v>129.30627490774225</c:v>
                </c:pt>
                <c:pt idx="3">
                  <c:v>86.639187623139378</c:v>
                </c:pt>
                <c:pt idx="4">
                  <c:v>186.34171158407273</c:v>
                </c:pt>
                <c:pt idx="5">
                  <c:v>141.22267407477136</c:v>
                </c:pt>
                <c:pt idx="6">
                  <c:v>139.30782708646535</c:v>
                </c:pt>
                <c:pt idx="7">
                  <c:v>203.18073587848085</c:v>
                </c:pt>
                <c:pt idx="8">
                  <c:v>108.38644860869735</c:v>
                </c:pt>
                <c:pt idx="9">
                  <c:v>128.63711325397369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9B-42DA-9813-1775BFB6942F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Flores!$DJ$93:$DS$93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Flores!$DJ$99:$DS$99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2.0896553627846311E-3</c:v>
                </c:pt>
                <c:pt idx="3">
                  <c:v>0.53823261735322148</c:v>
                </c:pt>
                <c:pt idx="4">
                  <c:v>2.7767786222922917</c:v>
                </c:pt>
                <c:pt idx="5">
                  <c:v>1.6398848023282879</c:v>
                </c:pt>
                <c:pt idx="6">
                  <c:v>1.7628732477093667</c:v>
                </c:pt>
                <c:pt idx="7">
                  <c:v>2.9859455394276093</c:v>
                </c:pt>
                <c:pt idx="8">
                  <c:v>0.77222012550507935</c:v>
                </c:pt>
                <c:pt idx="9">
                  <c:v>3.8104422279424358E-2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69B-42DA-9813-1775BFB6942F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Flores!$DJ$93:$DS$93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Flores!$DJ$100:$DS$100</c:f>
              <c:numCache>
                <c:formatCode>General</c:formatCode>
                <c:ptCount val="10"/>
                <c:pt idx="0">
                  <c:v>618.87096774193549</c:v>
                </c:pt>
                <c:pt idx="1">
                  <c:v>618.87096774193549</c:v>
                </c:pt>
                <c:pt idx="2">
                  <c:v>618.87096774193549</c:v>
                </c:pt>
                <c:pt idx="3">
                  <c:v>618.87096774193549</c:v>
                </c:pt>
                <c:pt idx="4">
                  <c:v>618.87096774193549</c:v>
                </c:pt>
                <c:pt idx="5">
                  <c:v>618.87096774193549</c:v>
                </c:pt>
                <c:pt idx="6">
                  <c:v>618.87096774193549</c:v>
                </c:pt>
                <c:pt idx="7">
                  <c:v>618.87096774193549</c:v>
                </c:pt>
                <c:pt idx="8">
                  <c:v>618.87096774193549</c:v>
                </c:pt>
                <c:pt idx="9">
                  <c:v>618.87096774193549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69B-42DA-9813-1775BFB694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031496"/>
        <c:axId val="565761031"/>
      </c:lineChart>
      <c:catAx>
        <c:axId val="76031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65761031"/>
        <c:crosses val="autoZero"/>
        <c:auto val="1"/>
        <c:lblAlgn val="ctr"/>
        <c:lblOffset val="100"/>
        <c:noMultiLvlLbl val="0"/>
      </c:catAx>
      <c:valAx>
        <c:axId val="5657610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60314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8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Flores!$DY$93:$EH$93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Flores!$DY$95:$EH$95</c:f>
              <c:numCache>
                <c:formatCode>General</c:formatCode>
                <c:ptCount val="10"/>
                <c:pt idx="0">
                  <c:v>2973.2745077503141</c:v>
                </c:pt>
                <c:pt idx="1">
                  <c:v>2665.6943862589023</c:v>
                </c:pt>
                <c:pt idx="2">
                  <c:v>2665.6943862589023</c:v>
                </c:pt>
                <c:pt idx="3">
                  <c:v>2460.6409719312946</c:v>
                </c:pt>
                <c:pt idx="4">
                  <c:v>3485.908043569334</c:v>
                </c:pt>
                <c:pt idx="5">
                  <c:v>3485.908043569334</c:v>
                </c:pt>
                <c:pt idx="6">
                  <c:v>3485.908043569334</c:v>
                </c:pt>
                <c:pt idx="7">
                  <c:v>2973.2745077503141</c:v>
                </c:pt>
                <c:pt idx="8">
                  <c:v>3690.9614578969417</c:v>
                </c:pt>
                <c:pt idx="9">
                  <c:v>3690.9614578969417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36-40AD-8227-93E3529E04EB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Flores!$DY$93:$EH$93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Flores!$DY$103:$EH$103</c:f>
              <c:numCache>
                <c:formatCode>General</c:formatCode>
                <c:ptCount val="10"/>
                <c:pt idx="0">
                  <c:v>720.55498170736951</c:v>
                </c:pt>
                <c:pt idx="1">
                  <c:v>718.50724568449846</c:v>
                </c:pt>
                <c:pt idx="2">
                  <c:v>757.30667831317146</c:v>
                </c:pt>
                <c:pt idx="3">
                  <c:v>720.88909330878187</c:v>
                </c:pt>
                <c:pt idx="4">
                  <c:v>799.50577231989587</c:v>
                </c:pt>
                <c:pt idx="5">
                  <c:v>756.52868918960939</c:v>
                </c:pt>
                <c:pt idx="6">
                  <c:v>759.05404134272703</c:v>
                </c:pt>
                <c:pt idx="7">
                  <c:v>806.51759950509586</c:v>
                </c:pt>
                <c:pt idx="8">
                  <c:v>721.30497343571869</c:v>
                </c:pt>
                <c:pt idx="9">
                  <c:v>752.41157035442257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436-40AD-8227-93E3529E04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057608"/>
        <c:axId val="76067848"/>
      </c:lineChart>
      <c:catAx>
        <c:axId val="760576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6067848"/>
        <c:crosses val="autoZero"/>
        <c:auto val="1"/>
        <c:lblAlgn val="ctr"/>
        <c:lblOffset val="100"/>
        <c:noMultiLvlLbl val="0"/>
      </c:catAx>
      <c:valAx>
        <c:axId val="76067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60576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8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Flores!$DY$93:$EH$93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Flores!$DY$97:$EH$97</c:f>
              <c:numCache>
                <c:formatCode>General</c:formatCode>
                <c:ptCount val="10"/>
                <c:pt idx="0">
                  <c:v>84.700142997692012</c:v>
                </c:pt>
                <c:pt idx="1">
                  <c:v>82.652406974820977</c:v>
                </c:pt>
                <c:pt idx="2">
                  <c:v>121.45182197239832</c:v>
                </c:pt>
                <c:pt idx="3">
                  <c:v>84.61042339224295</c:v>
                </c:pt>
                <c:pt idx="4">
                  <c:v>161.29937466932637</c:v>
                </c:pt>
                <c:pt idx="5">
                  <c:v>118.94108276152174</c:v>
                </c:pt>
                <c:pt idx="6">
                  <c:v>121.31575509073639</c:v>
                </c:pt>
                <c:pt idx="7">
                  <c:v>168.00250808548205</c:v>
                </c:pt>
                <c:pt idx="8">
                  <c:v>84.864237462728809</c:v>
                </c:pt>
                <c:pt idx="9">
                  <c:v>116.54934336724405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08-4822-8CF4-07EC042FA3E8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Flores!$DY$93:$EH$93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Flores!$DY$99:$EH$99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1.7631095681486095E-5</c:v>
                </c:pt>
                <c:pt idx="3">
                  <c:v>0.42383120686148085</c:v>
                </c:pt>
                <c:pt idx="4">
                  <c:v>2.3515589408920183</c:v>
                </c:pt>
                <c:pt idx="5">
                  <c:v>1.7327677184102301</c:v>
                </c:pt>
                <c:pt idx="6">
                  <c:v>1.8834475423132429</c:v>
                </c:pt>
                <c:pt idx="7">
                  <c:v>2.6602527099363971</c:v>
                </c:pt>
                <c:pt idx="8">
                  <c:v>0.58589726331246939</c:v>
                </c:pt>
                <c:pt idx="9">
                  <c:v>7.3882775010601937E-3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408-4822-8CF4-07EC042FA3E8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Flores!$DY$93:$EH$93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Flores!$DY$100:$EH$100</c:f>
              <c:numCache>
                <c:formatCode>General</c:formatCode>
                <c:ptCount val="10"/>
                <c:pt idx="0">
                  <c:v>635.85483870967744</c:v>
                </c:pt>
                <c:pt idx="1">
                  <c:v>635.85483870967744</c:v>
                </c:pt>
                <c:pt idx="2">
                  <c:v>635.85483870967744</c:v>
                </c:pt>
                <c:pt idx="3">
                  <c:v>635.85483870967744</c:v>
                </c:pt>
                <c:pt idx="4">
                  <c:v>635.85483870967744</c:v>
                </c:pt>
                <c:pt idx="5">
                  <c:v>635.85483870967744</c:v>
                </c:pt>
                <c:pt idx="6">
                  <c:v>635.85483870967744</c:v>
                </c:pt>
                <c:pt idx="7">
                  <c:v>635.85483870967744</c:v>
                </c:pt>
                <c:pt idx="8">
                  <c:v>635.85483870967744</c:v>
                </c:pt>
                <c:pt idx="9">
                  <c:v>635.85483870967744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408-4822-8CF4-07EC042FA3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24999687"/>
        <c:axId val="1125001735"/>
      </c:lineChart>
      <c:catAx>
        <c:axId val="11249996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25001735"/>
        <c:crosses val="autoZero"/>
        <c:auto val="1"/>
        <c:lblAlgn val="ctr"/>
        <c:lblOffset val="100"/>
        <c:noMultiLvlLbl val="0"/>
      </c:catAx>
      <c:valAx>
        <c:axId val="11250017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249996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8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Flores!$CD$139:$CM$139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Flores!$CD$141:$CM$141</c:f>
              <c:numCache>
                <c:formatCode>General</c:formatCode>
                <c:ptCount val="10"/>
                <c:pt idx="0">
                  <c:v>3086.4251655629141</c:v>
                </c:pt>
                <c:pt idx="1">
                  <c:v>2865.9662251655636</c:v>
                </c:pt>
                <c:pt idx="2">
                  <c:v>2865.9662251655636</c:v>
                </c:pt>
                <c:pt idx="3">
                  <c:v>2865.9662251655636</c:v>
                </c:pt>
                <c:pt idx="4">
                  <c:v>3527.3430463576165</c:v>
                </c:pt>
                <c:pt idx="5">
                  <c:v>3527.3430463576165</c:v>
                </c:pt>
                <c:pt idx="6">
                  <c:v>3527.3430463576165</c:v>
                </c:pt>
                <c:pt idx="7">
                  <c:v>3196.6546357615898</c:v>
                </c:pt>
                <c:pt idx="8">
                  <c:v>3968.2609271523188</c:v>
                </c:pt>
                <c:pt idx="9">
                  <c:v>3858.0314569536431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786-489D-A4B2-66688E11D3AB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Flores!$CD$139:$CM$139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Flores!$CD$149:$CM$149</c:f>
              <c:numCache>
                <c:formatCode>General</c:formatCode>
                <c:ptCount val="10"/>
                <c:pt idx="0">
                  <c:v>1229.7026354696627</c:v>
                </c:pt>
                <c:pt idx="1">
                  <c:v>1224.0033355393377</c:v>
                </c:pt>
                <c:pt idx="2">
                  <c:v>1302.127466595233</c:v>
                </c:pt>
                <c:pt idx="3">
                  <c:v>1220.9601701411989</c:v>
                </c:pt>
                <c:pt idx="4">
                  <c:v>1333.1014395845357</c:v>
                </c:pt>
                <c:pt idx="5">
                  <c:v>1255.866856812112</c:v>
                </c:pt>
                <c:pt idx="6">
                  <c:v>1267.013631236789</c:v>
                </c:pt>
                <c:pt idx="7">
                  <c:v>1355.9563453677533</c:v>
                </c:pt>
                <c:pt idx="8">
                  <c:v>1233.1748520470048</c:v>
                </c:pt>
                <c:pt idx="9">
                  <c:v>1314.9266005397076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786-489D-A4B2-66688E11D3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40525831"/>
        <c:axId val="1840527879"/>
      </c:lineChart>
      <c:catAx>
        <c:axId val="18405258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40527879"/>
        <c:crosses val="autoZero"/>
        <c:auto val="1"/>
        <c:lblAlgn val="ctr"/>
        <c:lblOffset val="100"/>
        <c:noMultiLvlLbl val="0"/>
      </c:catAx>
      <c:valAx>
        <c:axId val="18405278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405258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8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Flores!$CD$139:$CM$139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Flores!$CD$143:$CM$143</c:f>
              <c:numCache>
                <c:formatCode>General</c:formatCode>
                <c:ptCount val="10"/>
                <c:pt idx="0">
                  <c:v>166.36930213632911</c:v>
                </c:pt>
                <c:pt idx="1">
                  <c:v>160.67000220600423</c:v>
                </c:pt>
                <c:pt idx="2">
                  <c:v>238.79413315095323</c:v>
                </c:pt>
                <c:pt idx="3">
                  <c:v>157.48702104778147</c:v>
                </c:pt>
                <c:pt idx="4">
                  <c:v>267.76346087436644</c:v>
                </c:pt>
                <c:pt idx="5">
                  <c:v>190.82098019053078</c:v>
                </c:pt>
                <c:pt idx="6">
                  <c:v>201.68141268279294</c:v>
                </c:pt>
                <c:pt idx="7">
                  <c:v>290.56754725674716</c:v>
                </c:pt>
                <c:pt idx="8">
                  <c:v>169.65289573327354</c:v>
                </c:pt>
                <c:pt idx="9">
                  <c:v>251.593244721221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5A-40F9-86BC-EC05C39E9591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Flores!$CD$139:$CM$139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Flores!$CD$145:$CM$145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1.1094636031895876E-7</c:v>
                </c:pt>
                <c:pt idx="3">
                  <c:v>0.13981576008396163</c:v>
                </c:pt>
                <c:pt idx="4">
                  <c:v>2.0046453768358377</c:v>
                </c:pt>
                <c:pt idx="5">
                  <c:v>1.7125432882478415</c:v>
                </c:pt>
                <c:pt idx="6">
                  <c:v>1.9988852206626646</c:v>
                </c:pt>
                <c:pt idx="7">
                  <c:v>2.05546477767261</c:v>
                </c:pt>
                <c:pt idx="8">
                  <c:v>0.18862298039773476</c:v>
                </c:pt>
                <c:pt idx="9">
                  <c:v>2.2485152989080103E-5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5A-40F9-86BC-EC05C39E9591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Flores!$CD$139:$CM$139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Flores!$CD$146:$CM$146</c:f>
              <c:numCache>
                <c:formatCode>General</c:formatCode>
                <c:ptCount val="10"/>
                <c:pt idx="0">
                  <c:v>1063.3333333333335</c:v>
                </c:pt>
                <c:pt idx="1">
                  <c:v>1063.3333333333335</c:v>
                </c:pt>
                <c:pt idx="2">
                  <c:v>1063.3333333333335</c:v>
                </c:pt>
                <c:pt idx="3">
                  <c:v>1063.3333333333335</c:v>
                </c:pt>
                <c:pt idx="4">
                  <c:v>1063.3333333333335</c:v>
                </c:pt>
                <c:pt idx="5">
                  <c:v>1063.3333333333335</c:v>
                </c:pt>
                <c:pt idx="6">
                  <c:v>1063.3333333333335</c:v>
                </c:pt>
                <c:pt idx="7">
                  <c:v>1063.3333333333335</c:v>
                </c:pt>
                <c:pt idx="8">
                  <c:v>1063.3333333333335</c:v>
                </c:pt>
                <c:pt idx="9">
                  <c:v>1063.3333333333335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95A-40F9-86BC-EC05C39E95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40577543"/>
        <c:axId val="1840567303"/>
      </c:lineChart>
      <c:catAx>
        <c:axId val="18405775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40567303"/>
        <c:crosses val="autoZero"/>
        <c:auto val="1"/>
        <c:lblAlgn val="ctr"/>
        <c:lblOffset val="100"/>
        <c:noMultiLvlLbl val="0"/>
      </c:catAx>
      <c:valAx>
        <c:axId val="1840567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405775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8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of energy by Renewable Sources vs Demand  - October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Flores!$CU$139:$DD$139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Flores!$CU$141:$DD$141</c:f>
              <c:numCache>
                <c:formatCode>General</c:formatCode>
                <c:ptCount val="10"/>
                <c:pt idx="0">
                  <c:v>2899.6087408949011</c:v>
                </c:pt>
                <c:pt idx="1">
                  <c:v>2676.5619146722165</c:v>
                </c:pt>
                <c:pt idx="2">
                  <c:v>2676.5619146722165</c:v>
                </c:pt>
                <c:pt idx="3">
                  <c:v>2676.5619146722165</c:v>
                </c:pt>
                <c:pt idx="4">
                  <c:v>3234.1789802289281</c:v>
                </c:pt>
                <c:pt idx="5">
                  <c:v>3234.1789802289281</c:v>
                </c:pt>
                <c:pt idx="6">
                  <c:v>3234.1789802289281</c:v>
                </c:pt>
                <c:pt idx="7">
                  <c:v>3122.6555671175856</c:v>
                </c:pt>
                <c:pt idx="8">
                  <c:v>3791.7960457856398</c:v>
                </c:pt>
                <c:pt idx="9">
                  <c:v>3568.7492195629557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C8-41DC-8FCC-9939B511CD47}"/>
            </c:ext>
          </c:extLst>
        </c:ser>
        <c:ser>
          <c:idx val="1"/>
          <c:order val="1"/>
          <c:tx>
            <c:v>Energy production for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Flores!$CU$139:$DD$139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Flores!$CU$149:$DD$149</c:f>
              <c:numCache>
                <c:formatCode>General</c:formatCode>
                <c:ptCount val="10"/>
                <c:pt idx="0">
                  <c:v>1467.6154546377563</c:v>
                </c:pt>
                <c:pt idx="1">
                  <c:v>1482.052367827016</c:v>
                </c:pt>
                <c:pt idx="2">
                  <c:v>1598.9010565822537</c:v>
                </c:pt>
                <c:pt idx="3">
                  <c:v>1480.9507374262071</c:v>
                </c:pt>
                <c:pt idx="4">
                  <c:v>1602.6461114257929</c:v>
                </c:pt>
                <c:pt idx="5">
                  <c:v>1509.2206639691015</c:v>
                </c:pt>
                <c:pt idx="6">
                  <c:v>1504.8443483977505</c:v>
                </c:pt>
                <c:pt idx="7">
                  <c:v>1595.7514588212539</c:v>
                </c:pt>
                <c:pt idx="8">
                  <c:v>1471.5903110235213</c:v>
                </c:pt>
                <c:pt idx="9">
                  <c:v>1573.5242640828969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CC8-41DC-8FCC-9939B511CD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25054983"/>
        <c:axId val="1034966023"/>
      </c:lineChart>
      <c:catAx>
        <c:axId val="11250549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34966023"/>
        <c:crosses val="autoZero"/>
        <c:auto val="1"/>
        <c:lblAlgn val="ctr"/>
        <c:lblOffset val="100"/>
        <c:noMultiLvlLbl val="0"/>
      </c:catAx>
      <c:valAx>
        <c:axId val="10349660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[kWh]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1250549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8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Flores!$CU$139:$DD$139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Flores!$CU$143:$DD$143</c:f>
              <c:numCache>
                <c:formatCode>General</c:formatCode>
                <c:ptCount val="10"/>
                <c:pt idx="0">
                  <c:v>197.46706748039742</c:v>
                </c:pt>
                <c:pt idx="1">
                  <c:v>211.90398036673338</c:v>
                </c:pt>
                <c:pt idx="2">
                  <c:v>328.75266837475857</c:v>
                </c:pt>
                <c:pt idx="3">
                  <c:v>210.74953846020634</c:v>
                </c:pt>
                <c:pt idx="4">
                  <c:v>330.29640395410803</c:v>
                </c:pt>
                <c:pt idx="5">
                  <c:v>237.10782654857752</c:v>
                </c:pt>
                <c:pt idx="6">
                  <c:v>232.72909889700944</c:v>
                </c:pt>
                <c:pt idx="7">
                  <c:v>323.48167171399683</c:v>
                </c:pt>
                <c:pt idx="8">
                  <c:v>201.39393246123589</c:v>
                </c:pt>
                <c:pt idx="9">
                  <c:v>303.37587625910618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022-47C0-A971-E8F58C4CB7C0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Flores!$CU$139:$DD$139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Flores!$CU$145:$DD$145</c:f>
              <c:numCache>
                <c:formatCode>General</c:formatCode>
                <c:ptCount val="10"/>
                <c:pt idx="0">
                  <c:v>6.0584607136003885E-8</c:v>
                </c:pt>
                <c:pt idx="1">
                  <c:v>3.6350839406665429E-7</c:v>
                </c:pt>
                <c:pt idx="2">
                  <c:v>1.1107206772874901E-6</c:v>
                </c:pt>
                <c:pt idx="3">
                  <c:v>5.2811869226497742E-2</c:v>
                </c:pt>
                <c:pt idx="4">
                  <c:v>2.2013203749106642</c:v>
                </c:pt>
                <c:pt idx="5">
                  <c:v>1.9644503237496289</c:v>
                </c:pt>
                <c:pt idx="6">
                  <c:v>1.9668624039668248</c:v>
                </c:pt>
                <c:pt idx="7">
                  <c:v>2.1214000104826787</c:v>
                </c:pt>
                <c:pt idx="8">
                  <c:v>4.7991465511036717E-2</c:v>
                </c:pt>
                <c:pt idx="9">
                  <c:v>7.2701641250799299E-7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022-47C0-A971-E8F58C4CB7C0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Flores!$CU$139:$DD$139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Flores!$CU$146:$DD$146</c:f>
              <c:numCache>
                <c:formatCode>General</c:formatCode>
                <c:ptCount val="10"/>
                <c:pt idx="0">
                  <c:v>1270.1483870967743</c:v>
                </c:pt>
                <c:pt idx="1">
                  <c:v>1270.1483870967743</c:v>
                </c:pt>
                <c:pt idx="2">
                  <c:v>1270.1483870967743</c:v>
                </c:pt>
                <c:pt idx="3">
                  <c:v>1270.1483870967743</c:v>
                </c:pt>
                <c:pt idx="4">
                  <c:v>1270.1483870967743</c:v>
                </c:pt>
                <c:pt idx="5">
                  <c:v>1270.1483870967743</c:v>
                </c:pt>
                <c:pt idx="6">
                  <c:v>1270.1483870967743</c:v>
                </c:pt>
                <c:pt idx="7">
                  <c:v>1270.1483870967743</c:v>
                </c:pt>
                <c:pt idx="8">
                  <c:v>1270.1483870967743</c:v>
                </c:pt>
                <c:pt idx="9">
                  <c:v>1270.1483870967743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1022-47C0-A971-E8F58C4CB7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65971719"/>
        <c:axId val="1065973767"/>
      </c:lineChart>
      <c:catAx>
        <c:axId val="10659717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65973767"/>
        <c:crosses val="autoZero"/>
        <c:auto val="1"/>
        <c:lblAlgn val="ctr"/>
        <c:lblOffset val="100"/>
        <c:noMultiLvlLbl val="0"/>
      </c:catAx>
      <c:valAx>
        <c:axId val="1065973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0659717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8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Flores!$DJ$139:$DS$139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Flores!$DJ$141:$DS$141</c:f>
              <c:numCache>
                <c:formatCode>General</c:formatCode>
                <c:ptCount val="10"/>
                <c:pt idx="0">
                  <c:v>2669.1665521191298</c:v>
                </c:pt>
                <c:pt idx="1">
                  <c:v>2463.8460481099655</c:v>
                </c:pt>
                <c:pt idx="2">
                  <c:v>2463.8460481099655</c:v>
                </c:pt>
                <c:pt idx="3">
                  <c:v>2669.1665521191298</c:v>
                </c:pt>
                <c:pt idx="4">
                  <c:v>3079.8075601374571</c:v>
                </c:pt>
                <c:pt idx="5">
                  <c:v>2977.147308132875</c:v>
                </c:pt>
                <c:pt idx="6">
                  <c:v>2874.4870561282933</c:v>
                </c:pt>
                <c:pt idx="7">
                  <c:v>3695.7690721649483</c:v>
                </c:pt>
                <c:pt idx="8">
                  <c:v>3695.7690721649483</c:v>
                </c:pt>
                <c:pt idx="9">
                  <c:v>3285.128064146621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F0-49C8-BEB9-9ABEFC757BDE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Flores!$DJ$139:$DS$139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Flores!$DJ$149:$DS$149</c:f>
              <c:numCache>
                <c:formatCode>General</c:formatCode>
                <c:ptCount val="10"/>
                <c:pt idx="0">
                  <c:v>2081.578290836318</c:v>
                </c:pt>
                <c:pt idx="1">
                  <c:v>2064.0117894507312</c:v>
                </c:pt>
                <c:pt idx="2">
                  <c:v>2161.8147198281126</c:v>
                </c:pt>
                <c:pt idx="3">
                  <c:v>2026.5807545725613</c:v>
                </c:pt>
                <c:pt idx="4">
                  <c:v>2144.6155424776862</c:v>
                </c:pt>
                <c:pt idx="5">
                  <c:v>2062.6619579807548</c:v>
                </c:pt>
                <c:pt idx="6">
                  <c:v>2084.8009080675597</c:v>
                </c:pt>
                <c:pt idx="7">
                  <c:v>2205.604931214622</c:v>
                </c:pt>
                <c:pt idx="8">
                  <c:v>2062.6744513405501</c:v>
                </c:pt>
                <c:pt idx="9">
                  <c:v>2222.1899875644376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FF0-49C8-BEB9-9ABEFC757B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2702983"/>
        <c:axId val="192817159"/>
      </c:lineChart>
      <c:catAx>
        <c:axId val="1927029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92817159"/>
        <c:crosses val="autoZero"/>
        <c:auto val="1"/>
        <c:lblAlgn val="ctr"/>
        <c:lblOffset val="100"/>
        <c:noMultiLvlLbl val="0"/>
      </c:catAx>
      <c:valAx>
        <c:axId val="1928171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927029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8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Flores!$DJ$139:$DS$139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Flores!$DJ$143:$DS$143</c:f>
              <c:numCache>
                <c:formatCode>General</c:formatCode>
                <c:ptCount val="10"/>
                <c:pt idx="0">
                  <c:v>271.83495729413505</c:v>
                </c:pt>
                <c:pt idx="1">
                  <c:v>254.26845556046433</c:v>
                </c:pt>
                <c:pt idx="2">
                  <c:v>352.07138623371759</c:v>
                </c:pt>
                <c:pt idx="3">
                  <c:v>216.83574929381371</c:v>
                </c:pt>
                <c:pt idx="4">
                  <c:v>333.70805765291789</c:v>
                </c:pt>
                <c:pt idx="5">
                  <c:v>251.33936041608101</c:v>
                </c:pt>
                <c:pt idx="6">
                  <c:v>273.46895665153897</c:v>
                </c:pt>
                <c:pt idx="7">
                  <c:v>394.79744350509401</c:v>
                </c:pt>
                <c:pt idx="8">
                  <c:v>252.9289795440246</c:v>
                </c:pt>
                <c:pt idx="9">
                  <c:v>412.44665384821354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3EB-49D4-97FE-89BD21375395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Flores!$DJ$139:$DS$139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Flores!$DJ$145:$DS$145</c:f>
              <c:numCache>
                <c:formatCode>General</c:formatCode>
                <c:ptCount val="10"/>
                <c:pt idx="0">
                  <c:v>2.088496972355653E-7</c:v>
                </c:pt>
                <c:pt idx="1">
                  <c:v>5.569335702094716E-7</c:v>
                </c:pt>
                <c:pt idx="2">
                  <c:v>2.6106188658866476E-7</c:v>
                </c:pt>
                <c:pt idx="3">
                  <c:v>1.6719454143067874E-3</c:v>
                </c:pt>
                <c:pt idx="4">
                  <c:v>1.1641514914349742</c:v>
                </c:pt>
                <c:pt idx="5">
                  <c:v>1.5792642313405505</c:v>
                </c:pt>
                <c:pt idx="6">
                  <c:v>1.5886180826874128</c:v>
                </c:pt>
                <c:pt idx="7">
                  <c:v>1.0641543761947123</c:v>
                </c:pt>
                <c:pt idx="8">
                  <c:v>2.1384631920389925E-3</c:v>
                </c:pt>
                <c:pt idx="9">
                  <c:v>3.8289085053654542E-7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3EB-49D4-97FE-89BD21375395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Flores!$DJ$139:$DS$139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Flores!$DJ$146:$DS$146</c:f>
              <c:numCache>
                <c:formatCode>General</c:formatCode>
                <c:ptCount val="10"/>
                <c:pt idx="0">
                  <c:v>1809.7433333333333</c:v>
                </c:pt>
                <c:pt idx="1">
                  <c:v>1809.7433333333333</c:v>
                </c:pt>
                <c:pt idx="2">
                  <c:v>1809.7433333333333</c:v>
                </c:pt>
                <c:pt idx="3">
                  <c:v>1809.7433333333333</c:v>
                </c:pt>
                <c:pt idx="4">
                  <c:v>1809.7433333333333</c:v>
                </c:pt>
                <c:pt idx="5">
                  <c:v>1809.7433333333333</c:v>
                </c:pt>
                <c:pt idx="6">
                  <c:v>1809.7433333333333</c:v>
                </c:pt>
                <c:pt idx="7">
                  <c:v>1809.7433333333333</c:v>
                </c:pt>
                <c:pt idx="8">
                  <c:v>1809.7433333333333</c:v>
                </c:pt>
                <c:pt idx="9">
                  <c:v>1809.7433333333333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3EB-49D4-97FE-89BD213753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92130055"/>
        <c:axId val="392140807"/>
      </c:lineChart>
      <c:catAx>
        <c:axId val="3921300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92140807"/>
        <c:crosses val="autoZero"/>
        <c:auto val="1"/>
        <c:lblAlgn val="ctr"/>
        <c:lblOffset val="100"/>
        <c:noMultiLvlLbl val="0"/>
      </c:catAx>
      <c:valAx>
        <c:axId val="3921408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92130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Consumo vs Prod de energia renovavel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Consumo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'São Miguel'!$CR$130:$DA$130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Miguel'!$CR$132:$DA$132</c:f>
              <c:numCache>
                <c:formatCode>General</c:formatCode>
                <c:ptCount val="10"/>
                <c:pt idx="0">
                  <c:v>43202.349942995104</c:v>
                </c:pt>
                <c:pt idx="1">
                  <c:v>37802.056200120714</c:v>
                </c:pt>
                <c:pt idx="2">
                  <c:v>37802.056200120714</c:v>
                </c:pt>
                <c:pt idx="3">
                  <c:v>41042.232445845351</c:v>
                </c:pt>
                <c:pt idx="4">
                  <c:v>56163.054925893637</c:v>
                </c:pt>
                <c:pt idx="5">
                  <c:v>64803.524914492657</c:v>
                </c:pt>
                <c:pt idx="6">
                  <c:v>64803.524914492657</c:v>
                </c:pt>
                <c:pt idx="7">
                  <c:v>58323.17242304339</c:v>
                </c:pt>
                <c:pt idx="8">
                  <c:v>56163.054925893637</c:v>
                </c:pt>
                <c:pt idx="9">
                  <c:v>59403.231171618274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6C5-44A8-8421-FDB1FC116D43}"/>
            </c:ext>
          </c:extLst>
        </c:ser>
        <c:ser>
          <c:idx val="1"/>
          <c:order val="1"/>
          <c:tx>
            <c:v>produçao de energia renovavel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'São Miguel'!$CR$130:$DA$130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'São Miguel'!$CR$140:$DA$140</c:f>
              <c:numCache>
                <c:formatCode>General</c:formatCode>
                <c:ptCount val="10"/>
                <c:pt idx="0">
                  <c:v>57647.677661881862</c:v>
                </c:pt>
                <c:pt idx="1">
                  <c:v>57341.192954694641</c:v>
                </c:pt>
                <c:pt idx="2">
                  <c:v>58977.712842363784</c:v>
                </c:pt>
                <c:pt idx="3">
                  <c:v>57124.771273332735</c:v>
                </c:pt>
                <c:pt idx="4">
                  <c:v>61815.189362901227</c:v>
                </c:pt>
                <c:pt idx="5">
                  <c:v>60119.785924820259</c:v>
                </c:pt>
                <c:pt idx="6">
                  <c:v>60427.760383898138</c:v>
                </c:pt>
                <c:pt idx="7">
                  <c:v>63423.033540601391</c:v>
                </c:pt>
                <c:pt idx="8">
                  <c:v>58882.830403051841</c:v>
                </c:pt>
                <c:pt idx="9">
                  <c:v>60527.981136325106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6C5-44A8-8421-FDB1FC116D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55016712"/>
        <c:axId val="30747655"/>
      </c:lineChart>
      <c:catAx>
        <c:axId val="17550167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0747655"/>
        <c:crosses val="autoZero"/>
        <c:auto val="1"/>
        <c:lblAlgn val="ctr"/>
        <c:lblOffset val="100"/>
        <c:noMultiLvlLbl val="0"/>
      </c:catAx>
      <c:valAx>
        <c:axId val="307476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7550167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9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Flores!$DY$139:$EH$139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Flores!$DY$141:$EH$141</c:f>
              <c:numCache>
                <c:formatCode>General</c:formatCode>
                <c:ptCount val="10"/>
                <c:pt idx="0">
                  <c:v>159.77563463030705</c:v>
                </c:pt>
                <c:pt idx="1">
                  <c:v>147.48520119720652</c:v>
                </c:pt>
                <c:pt idx="2">
                  <c:v>147.48520119720652</c:v>
                </c:pt>
                <c:pt idx="3">
                  <c:v>159.77563463030705</c:v>
                </c:pt>
                <c:pt idx="4">
                  <c:v>178.21128477995785</c:v>
                </c:pt>
                <c:pt idx="5">
                  <c:v>178.21128477995785</c:v>
                </c:pt>
                <c:pt idx="6">
                  <c:v>178.21128477995785</c:v>
                </c:pt>
                <c:pt idx="7">
                  <c:v>184.35650149650814</c:v>
                </c:pt>
                <c:pt idx="8">
                  <c:v>233.51823522891027</c:v>
                </c:pt>
                <c:pt idx="9">
                  <c:v>221.22780179580977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752-441C-B44C-E373BB70926C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Flores!$DY$139:$EH$139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Flores!$DY$149:$EH$149</c:f>
              <c:numCache>
                <c:formatCode>General</c:formatCode>
                <c:ptCount val="10"/>
                <c:pt idx="0">
                  <c:v>2170.0385517344444</c:v>
                </c:pt>
                <c:pt idx="1">
                  <c:v>2174.0904690874759</c:v>
                </c:pt>
                <c:pt idx="2">
                  <c:v>2250.894231426631</c:v>
                </c:pt>
                <c:pt idx="3">
                  <c:v>2183.2410946129644</c:v>
                </c:pt>
                <c:pt idx="4">
                  <c:v>2269.2304285683572</c:v>
                </c:pt>
                <c:pt idx="5">
                  <c:v>2197.7140165390406</c:v>
                </c:pt>
                <c:pt idx="6">
                  <c:v>2201.7631181524648</c:v>
                </c:pt>
                <c:pt idx="7">
                  <c:v>2264.684743232508</c:v>
                </c:pt>
                <c:pt idx="8">
                  <c:v>2188.7109666736574</c:v>
                </c:pt>
                <c:pt idx="9">
                  <c:v>2240.987218682134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752-441C-B44C-E373BB7092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18522375"/>
        <c:axId val="718536199"/>
      </c:lineChart>
      <c:catAx>
        <c:axId val="7185223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18536199"/>
        <c:crosses val="autoZero"/>
        <c:auto val="1"/>
        <c:lblAlgn val="ctr"/>
        <c:lblOffset val="100"/>
        <c:noMultiLvlLbl val="0"/>
      </c:catAx>
      <c:valAx>
        <c:axId val="7185361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7185223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9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Flores!$DY$139:$EH$139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Flores!$DY$143:$EH$143</c:f>
              <c:numCache>
                <c:formatCode>General</c:formatCode>
                <c:ptCount val="10"/>
                <c:pt idx="0">
                  <c:v>135.08048633674977</c:v>
                </c:pt>
                <c:pt idx="1">
                  <c:v>139.13240392034476</c:v>
                </c:pt>
                <c:pt idx="2">
                  <c:v>215.93616602893866</c:v>
                </c:pt>
                <c:pt idx="3">
                  <c:v>148.2830062674887</c:v>
                </c:pt>
                <c:pt idx="4">
                  <c:v>233.55856332997411</c:v>
                </c:pt>
                <c:pt idx="5">
                  <c:v>161.72792625294494</c:v>
                </c:pt>
                <c:pt idx="6">
                  <c:v>165.81602946602308</c:v>
                </c:pt>
                <c:pt idx="7">
                  <c:v>228.94206284857941</c:v>
                </c:pt>
                <c:pt idx="8">
                  <c:v>153.75226664501966</c:v>
                </c:pt>
                <c:pt idx="9">
                  <c:v>206.02915342006554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9C8-4E26-B0E9-CDBAE1DBC840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Flores!$DY$139:$EH$139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Flores!$DY$145:$EH$145</c:f>
              <c:numCache>
                <c:formatCode>General</c:formatCode>
                <c:ptCount val="10"/>
                <c:pt idx="0">
                  <c:v>8.8156532300996063E-7</c:v>
                </c:pt>
                <c:pt idx="1">
                  <c:v>6.5100212349394776E-7</c:v>
                </c:pt>
                <c:pt idx="2">
                  <c:v>8.8156330490716163E-7</c:v>
                </c:pt>
                <c:pt idx="3">
                  <c:v>2.3829346660830018E-5</c:v>
                </c:pt>
                <c:pt idx="4">
                  <c:v>0.71380072225411351</c:v>
                </c:pt>
                <c:pt idx="5">
                  <c:v>1.0280257699664526</c:v>
                </c:pt>
                <c:pt idx="6">
                  <c:v>0.98902417031287482</c:v>
                </c:pt>
                <c:pt idx="7">
                  <c:v>0.78461586779953574</c:v>
                </c:pt>
                <c:pt idx="8">
                  <c:v>6.3551250844804102E-4</c:v>
                </c:pt>
                <c:pt idx="9">
                  <c:v>7.4593922893635927E-7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9C8-4E26-B0E9-CDBAE1DBC840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Flores!$DY$139:$EH$139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Flores!$DY$146:$EH$146</c:f>
              <c:numCache>
                <c:formatCode>General</c:formatCode>
                <c:ptCount val="10"/>
                <c:pt idx="0">
                  <c:v>2034.9580645161291</c:v>
                </c:pt>
                <c:pt idx="1">
                  <c:v>2034.9580645161291</c:v>
                </c:pt>
                <c:pt idx="2">
                  <c:v>2034.9580645161291</c:v>
                </c:pt>
                <c:pt idx="3">
                  <c:v>2034.9580645161291</c:v>
                </c:pt>
                <c:pt idx="4">
                  <c:v>2034.9580645161291</c:v>
                </c:pt>
                <c:pt idx="5">
                  <c:v>2034.9580645161291</c:v>
                </c:pt>
                <c:pt idx="6">
                  <c:v>2034.9580645161291</c:v>
                </c:pt>
                <c:pt idx="7">
                  <c:v>2034.9580645161291</c:v>
                </c:pt>
                <c:pt idx="8">
                  <c:v>2034.9580645161291</c:v>
                </c:pt>
                <c:pt idx="9">
                  <c:v>2034.9580645161291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9C8-4E26-B0E9-CDBAE1DBC8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80918535"/>
        <c:axId val="192812039"/>
      </c:lineChart>
      <c:catAx>
        <c:axId val="16809185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92812039"/>
        <c:crosses val="autoZero"/>
        <c:auto val="1"/>
        <c:lblAlgn val="ctr"/>
        <c:lblOffset val="100"/>
        <c:noMultiLvlLbl val="0"/>
      </c:catAx>
      <c:valAx>
        <c:axId val="1928120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6809185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9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Flores!$BG$21:$BR$21</c:f>
              <c:numCache>
                <c:formatCode>General</c:formatCode>
                <c:ptCount val="12"/>
                <c:pt idx="0">
                  <c:v>494487</c:v>
                </c:pt>
                <c:pt idx="1">
                  <c:v>365888</c:v>
                </c:pt>
                <c:pt idx="2">
                  <c:v>711262</c:v>
                </c:pt>
                <c:pt idx="3">
                  <c:v>583842</c:v>
                </c:pt>
                <c:pt idx="4">
                  <c:v>523106</c:v>
                </c:pt>
                <c:pt idx="5">
                  <c:v>444609</c:v>
                </c:pt>
                <c:pt idx="6">
                  <c:v>232187</c:v>
                </c:pt>
                <c:pt idx="7">
                  <c:v>232890</c:v>
                </c:pt>
                <c:pt idx="8">
                  <c:v>382105</c:v>
                </c:pt>
                <c:pt idx="9">
                  <c:v>473900</c:v>
                </c:pt>
                <c:pt idx="10">
                  <c:v>633496</c:v>
                </c:pt>
                <c:pt idx="11">
                  <c:v>686382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A3B-452E-9620-C3D3072B6233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Flores!$BG$44:$BR$44</c:f>
              <c:numCache>
                <c:formatCode>General</c:formatCode>
                <c:ptCount val="12"/>
                <c:pt idx="0">
                  <c:v>867605</c:v>
                </c:pt>
                <c:pt idx="1">
                  <c:v>869598</c:v>
                </c:pt>
                <c:pt idx="2">
                  <c:v>921939</c:v>
                </c:pt>
                <c:pt idx="3">
                  <c:v>855908</c:v>
                </c:pt>
                <c:pt idx="4">
                  <c:v>537249</c:v>
                </c:pt>
                <c:pt idx="5">
                  <c:v>1255785</c:v>
                </c:pt>
                <c:pt idx="6">
                  <c:v>938216</c:v>
                </c:pt>
                <c:pt idx="7">
                  <c:v>978925</c:v>
                </c:pt>
                <c:pt idx="8">
                  <c:v>998679</c:v>
                </c:pt>
                <c:pt idx="9">
                  <c:v>964566</c:v>
                </c:pt>
                <c:pt idx="10">
                  <c:v>896224</c:v>
                </c:pt>
                <c:pt idx="11">
                  <c:v>872207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A3B-452E-9620-C3D3072B62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573831"/>
        <c:axId val="2575879"/>
      </c:lineChart>
      <c:catAx>
        <c:axId val="25738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575879"/>
        <c:crosses val="autoZero"/>
        <c:auto val="1"/>
        <c:lblAlgn val="ctr"/>
        <c:lblOffset val="100"/>
        <c:noMultiLvlLbl val="0"/>
      </c:catAx>
      <c:valAx>
        <c:axId val="25758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25738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9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of energy by Renewable Sources vs Demand  - March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Demand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Flores!$DJ$41:$DS$41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Flores!$DJ$43:$DS$43</c:f>
              <c:numCache>
                <c:formatCode>General</c:formatCode>
                <c:ptCount val="10"/>
                <c:pt idx="0">
                  <c:v>2567.4792295196094</c:v>
                </c:pt>
                <c:pt idx="1">
                  <c:v>2353.5226270596427</c:v>
                </c:pt>
                <c:pt idx="2">
                  <c:v>2353.5226270596427</c:v>
                </c:pt>
                <c:pt idx="3">
                  <c:v>2567.4792295196094</c:v>
                </c:pt>
                <c:pt idx="4">
                  <c:v>3209.3490368995122</c:v>
                </c:pt>
                <c:pt idx="5">
                  <c:v>2995.3924344395446</c:v>
                </c:pt>
                <c:pt idx="6">
                  <c:v>2781.4358319795774</c:v>
                </c:pt>
                <c:pt idx="7">
                  <c:v>2781.4358319795774</c:v>
                </c:pt>
                <c:pt idx="8">
                  <c:v>4279.1320491993492</c:v>
                </c:pt>
                <c:pt idx="9">
                  <c:v>3851.2188442794145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89-44FF-BEC6-A69AE2D36313}"/>
            </c:ext>
          </c:extLst>
        </c:ser>
        <c:ser>
          <c:idx val="1"/>
          <c:order val="1"/>
          <c:tx>
            <c:v>Production of energy by renewable sources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Flores!$DJ$41:$DS$41</c:f>
              <c:strCache>
                <c:ptCount val="10"/>
                <c:pt idx="0">
                  <c:v>T1</c:v>
                </c:pt>
                <c:pt idx="1">
                  <c:v>T2</c:v>
                </c:pt>
                <c:pt idx="2">
                  <c:v>T3</c:v>
                </c:pt>
                <c:pt idx="3">
                  <c:v>T4</c:v>
                </c:pt>
                <c:pt idx="4">
                  <c:v>T5</c:v>
                </c:pt>
                <c:pt idx="5">
                  <c:v>T6</c:v>
                </c:pt>
                <c:pt idx="6">
                  <c:v>T7</c:v>
                </c:pt>
                <c:pt idx="7">
                  <c:v>T8</c:v>
                </c:pt>
                <c:pt idx="8">
                  <c:v>T9</c:v>
                </c:pt>
                <c:pt idx="9">
                  <c:v>T10</c:v>
                </c:pt>
              </c:strCache>
            </c:strRef>
          </c:cat>
          <c:val>
            <c:numRef>
              <c:f>Flores!$DJ$51:$DS$51</c:f>
              <c:numCache>
                <c:formatCode>General</c:formatCode>
                <c:ptCount val="10"/>
                <c:pt idx="0">
                  <c:v>2219.0777476141284</c:v>
                </c:pt>
                <c:pt idx="1">
                  <c:v>2230.5439511952391</c:v>
                </c:pt>
                <c:pt idx="2">
                  <c:v>2352.3248545140054</c:v>
                </c:pt>
                <c:pt idx="3">
                  <c:v>2247.9165630801594</c:v>
                </c:pt>
                <c:pt idx="4">
                  <c:v>2409.9560301127794</c:v>
                </c:pt>
                <c:pt idx="5">
                  <c:v>2290.3827485599063</c:v>
                </c:pt>
                <c:pt idx="6">
                  <c:v>2288.8380784151523</c:v>
                </c:pt>
                <c:pt idx="7">
                  <c:v>2376.3489418963923</c:v>
                </c:pt>
                <c:pt idx="8">
                  <c:v>2204.0494308420971</c:v>
                </c:pt>
                <c:pt idx="9">
                  <c:v>2324.4971376411063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89-44FF-BEC6-A69AE2D363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92847367"/>
        <c:axId val="392849415"/>
      </c:lineChart>
      <c:catAx>
        <c:axId val="3928473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92849415"/>
        <c:crosses val="autoZero"/>
        <c:auto val="1"/>
        <c:lblAlgn val="ctr"/>
        <c:lblOffset val="100"/>
        <c:noMultiLvlLbl val="0"/>
      </c:catAx>
      <c:valAx>
        <c:axId val="3928494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[kWh]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3928473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9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vs Demand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Produção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Flores!$BG$19:$BR$19</c:f>
              <c:numCache>
                <c:formatCode>General</c:formatCode>
                <c:ptCount val="12"/>
                <c:pt idx="0">
                  <c:v>1010307</c:v>
                </c:pt>
                <c:pt idx="1">
                  <c:v>898605</c:v>
                </c:pt>
                <c:pt idx="2">
                  <c:v>1008586</c:v>
                </c:pt>
                <c:pt idx="3">
                  <c:v>953791</c:v>
                </c:pt>
                <c:pt idx="4">
                  <c:v>1007193</c:v>
                </c:pt>
                <c:pt idx="5">
                  <c:v>977107</c:v>
                </c:pt>
                <c:pt idx="6">
                  <c:v>1077962</c:v>
                </c:pt>
                <c:pt idx="7">
                  <c:v>1124809</c:v>
                </c:pt>
                <c:pt idx="8">
                  <c:v>1041256</c:v>
                </c:pt>
                <c:pt idx="9">
                  <c:v>993921</c:v>
                </c:pt>
                <c:pt idx="10">
                  <c:v>975215</c:v>
                </c:pt>
                <c:pt idx="11">
                  <c:v>1018498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7F-429F-974D-5AACED2B11C9}"/>
            </c:ext>
          </c:extLst>
        </c:ser>
        <c:ser>
          <c:idx val="1"/>
          <c:order val="1"/>
          <c:tx>
            <c:v>Consumo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Flores!$BG$44:$BR$44</c:f>
              <c:numCache>
                <c:formatCode>General</c:formatCode>
                <c:ptCount val="12"/>
                <c:pt idx="0">
                  <c:v>867605</c:v>
                </c:pt>
                <c:pt idx="1">
                  <c:v>869598</c:v>
                </c:pt>
                <c:pt idx="2">
                  <c:v>921939</c:v>
                </c:pt>
                <c:pt idx="3">
                  <c:v>855908</c:v>
                </c:pt>
                <c:pt idx="4">
                  <c:v>537249</c:v>
                </c:pt>
                <c:pt idx="5">
                  <c:v>1255785</c:v>
                </c:pt>
                <c:pt idx="6">
                  <c:v>938216</c:v>
                </c:pt>
                <c:pt idx="7">
                  <c:v>978925</c:v>
                </c:pt>
                <c:pt idx="8">
                  <c:v>998679</c:v>
                </c:pt>
                <c:pt idx="9">
                  <c:v>964566</c:v>
                </c:pt>
                <c:pt idx="10">
                  <c:v>896224</c:v>
                </c:pt>
                <c:pt idx="11">
                  <c:v>872207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47F-429F-974D-5AACED2B11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98208008"/>
        <c:axId val="980117511"/>
      </c:barChart>
      <c:catAx>
        <c:axId val="598208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80117511"/>
        <c:crosses val="autoZero"/>
        <c:auto val="1"/>
        <c:lblAlgn val="ctr"/>
        <c:lblOffset val="100"/>
        <c:noMultiLvlLbl val="0"/>
      </c:catAx>
      <c:valAx>
        <c:axId val="9801175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982080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9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Energy Production Mix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CC6-4B23-8D1C-9E3E653FAA5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CC6-4B23-8D1C-9E3E653FAA5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CC6-4B23-8D1C-9E3E653FAA5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CC6-4B23-8D1C-9E3E653FAA5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PT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Flores!$AI$22:$AI$25</c:f>
              <c:strCache>
                <c:ptCount val="4"/>
                <c:pt idx="0">
                  <c:v>Wind</c:v>
                </c:pt>
                <c:pt idx="1">
                  <c:v>Diesel</c:v>
                </c:pt>
                <c:pt idx="2">
                  <c:v>Hydro</c:v>
                </c:pt>
                <c:pt idx="3">
                  <c:v>PhotoVoltaic</c:v>
                </c:pt>
              </c:strCache>
            </c:strRef>
          </c:cat>
          <c:val>
            <c:numRef>
              <c:f>Flores!$AJ$22:$AJ$25</c:f>
              <c:numCache>
                <c:formatCode>General</c:formatCode>
                <c:ptCount val="4"/>
                <c:pt idx="0">
                  <c:v>684548</c:v>
                </c:pt>
                <c:pt idx="1">
                  <c:v>6323096</c:v>
                </c:pt>
                <c:pt idx="2">
                  <c:v>5076694</c:v>
                </c:pt>
                <c:pt idx="3">
                  <c:v>2912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4CC6-4B23-8D1C-9E3E653FAA5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9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/>
              <a:t>Energy Production Mix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73A-4488-B2F1-5787EA3301F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73A-4488-B2F1-5787EA3301F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373A-4488-B2F1-5787EA3301F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373A-4488-B2F1-5787EA3301F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PT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Faial!$AM$23:$AM$26</c:f>
              <c:strCache>
                <c:ptCount val="4"/>
                <c:pt idx="0">
                  <c:v>Wind</c:v>
                </c:pt>
                <c:pt idx="1">
                  <c:v>Diesel</c:v>
                </c:pt>
                <c:pt idx="2">
                  <c:v>Solar</c:v>
                </c:pt>
                <c:pt idx="3">
                  <c:v>Hydro</c:v>
                </c:pt>
              </c:strCache>
            </c:strRef>
          </c:cat>
          <c:val>
            <c:numRef>
              <c:f>Faial!$AN$23:$AN$26</c:f>
              <c:numCache>
                <c:formatCode>General</c:formatCode>
                <c:ptCount val="4"/>
                <c:pt idx="0">
                  <c:v>5310488</c:v>
                </c:pt>
                <c:pt idx="1">
                  <c:v>45768005</c:v>
                </c:pt>
                <c:pt idx="2">
                  <c:v>22324</c:v>
                </c:pt>
                <c:pt idx="3">
                  <c:v>206261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373A-4488-B2F1-5787EA3301F6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9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 sz="1400"/>
              <a:t>Energy Producion Mix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BB3-4409-A587-8C91DCCA496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BB3-4409-A587-8C91DCCA496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BB3-4409-A587-8C91DCCA496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BB3-4409-A587-8C91DCCA496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5BB3-4409-A587-8C91DCCA496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5BB3-4409-A587-8C91DCCA496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PT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'São Miguel'!$AM$23:$AM$28</c:f>
              <c:strCache>
                <c:ptCount val="6"/>
                <c:pt idx="0">
                  <c:v>Wind</c:v>
                </c:pt>
                <c:pt idx="1">
                  <c:v>Diesel</c:v>
                </c:pt>
                <c:pt idx="2">
                  <c:v>Solar</c:v>
                </c:pt>
                <c:pt idx="3">
                  <c:v>Biogas</c:v>
                </c:pt>
                <c:pt idx="4">
                  <c:v>Geothermal</c:v>
                </c:pt>
                <c:pt idx="5">
                  <c:v>Hydro</c:v>
                </c:pt>
              </c:strCache>
            </c:strRef>
          </c:cat>
          <c:val>
            <c:numRef>
              <c:f>'São Miguel'!$AN$23:$AN$28</c:f>
              <c:numCache>
                <c:formatCode>General</c:formatCode>
                <c:ptCount val="6"/>
                <c:pt idx="0">
                  <c:v>16636770</c:v>
                </c:pt>
                <c:pt idx="1">
                  <c:v>170338433</c:v>
                </c:pt>
                <c:pt idx="2">
                  <c:v>419364</c:v>
                </c:pt>
                <c:pt idx="3">
                  <c:v>683247</c:v>
                </c:pt>
                <c:pt idx="4">
                  <c:v>153396385</c:v>
                </c:pt>
                <c:pt idx="5">
                  <c:v>27587900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5BB3-4409-A587-8C91DCCA496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9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 vs Demand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Production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Flores!$BG$19:$BR$19</c:f>
              <c:numCache>
                <c:formatCode>General</c:formatCode>
                <c:ptCount val="12"/>
                <c:pt idx="0">
                  <c:v>1010307</c:v>
                </c:pt>
                <c:pt idx="1">
                  <c:v>898605</c:v>
                </c:pt>
                <c:pt idx="2">
                  <c:v>1008586</c:v>
                </c:pt>
                <c:pt idx="3">
                  <c:v>953791</c:v>
                </c:pt>
                <c:pt idx="4">
                  <c:v>1007193</c:v>
                </c:pt>
                <c:pt idx="5">
                  <c:v>977107</c:v>
                </c:pt>
                <c:pt idx="6">
                  <c:v>1077962</c:v>
                </c:pt>
                <c:pt idx="7">
                  <c:v>1124809</c:v>
                </c:pt>
                <c:pt idx="8">
                  <c:v>1041256</c:v>
                </c:pt>
                <c:pt idx="9">
                  <c:v>993921</c:v>
                </c:pt>
                <c:pt idx="10">
                  <c:v>975215</c:v>
                </c:pt>
                <c:pt idx="11">
                  <c:v>1018498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0B-4E2C-B014-1FCCCA9F977C}"/>
            </c:ext>
          </c:extLst>
        </c:ser>
        <c:ser>
          <c:idx val="1"/>
          <c:order val="1"/>
          <c:tx>
            <c:v>Demand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Flores!$BG$3:$BR$3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Flores!$BG$44:$BR$44</c:f>
              <c:numCache>
                <c:formatCode>General</c:formatCode>
                <c:ptCount val="12"/>
                <c:pt idx="0">
                  <c:v>867605</c:v>
                </c:pt>
                <c:pt idx="1">
                  <c:v>869598</c:v>
                </c:pt>
                <c:pt idx="2">
                  <c:v>921939</c:v>
                </c:pt>
                <c:pt idx="3">
                  <c:v>855908</c:v>
                </c:pt>
                <c:pt idx="4">
                  <c:v>537249</c:v>
                </c:pt>
                <c:pt idx="5">
                  <c:v>1255785</c:v>
                </c:pt>
                <c:pt idx="6">
                  <c:v>938216</c:v>
                </c:pt>
                <c:pt idx="7">
                  <c:v>978925</c:v>
                </c:pt>
                <c:pt idx="8">
                  <c:v>998679</c:v>
                </c:pt>
                <c:pt idx="9">
                  <c:v>964566</c:v>
                </c:pt>
                <c:pt idx="10">
                  <c:v>896224</c:v>
                </c:pt>
                <c:pt idx="11">
                  <c:v>872207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F0B-4E2C-B014-1FCCCA9F97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98208008"/>
        <c:axId val="980117511"/>
      </c:barChart>
      <c:catAx>
        <c:axId val="598208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80117511"/>
        <c:crosses val="autoZero"/>
        <c:auto val="1"/>
        <c:lblAlgn val="ctr"/>
        <c:lblOffset val="100"/>
        <c:noMultiLvlLbl val="0"/>
      </c:catAx>
      <c:valAx>
        <c:axId val="9801175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982080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9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Production</a:t>
            </a:r>
            <a:r>
              <a:rPr lang="en-US" baseline="0"/>
              <a:t> vs Demand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Production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Faial!$AX$3:$BI$3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Faial!$AX$19:$BI$19</c:f>
              <c:numCache>
                <c:formatCode>General</c:formatCode>
                <c:ptCount val="12"/>
                <c:pt idx="0">
                  <c:v>4320254</c:v>
                </c:pt>
                <c:pt idx="1">
                  <c:v>3820833</c:v>
                </c:pt>
                <c:pt idx="2">
                  <c:v>4238982</c:v>
                </c:pt>
                <c:pt idx="3">
                  <c:v>4012724</c:v>
                </c:pt>
                <c:pt idx="4">
                  <c:v>4053026</c:v>
                </c:pt>
                <c:pt idx="5">
                  <c:v>4063501</c:v>
                </c:pt>
                <c:pt idx="6">
                  <c:v>4710235</c:v>
                </c:pt>
                <c:pt idx="7">
                  <c:v>4889276</c:v>
                </c:pt>
                <c:pt idx="8">
                  <c:v>4547816</c:v>
                </c:pt>
                <c:pt idx="9">
                  <c:v>4232039</c:v>
                </c:pt>
                <c:pt idx="10">
                  <c:v>4081413</c:v>
                </c:pt>
                <c:pt idx="11">
                  <c:v>4336979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A6-496D-A033-D808AE65CD43}"/>
            </c:ext>
          </c:extLst>
        </c:ser>
        <c:ser>
          <c:idx val="1"/>
          <c:order val="1"/>
          <c:tx>
            <c:v>Demand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Faial!$AX$3:$BI$3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Faial!$AX$43:$BI$43</c:f>
              <c:numCache>
                <c:formatCode>General</c:formatCode>
                <c:ptCount val="12"/>
                <c:pt idx="0">
                  <c:v>3782515</c:v>
                </c:pt>
                <c:pt idx="1">
                  <c:v>3544391</c:v>
                </c:pt>
                <c:pt idx="2">
                  <c:v>3820841</c:v>
                </c:pt>
                <c:pt idx="3">
                  <c:v>3743867</c:v>
                </c:pt>
                <c:pt idx="4">
                  <c:v>1988599</c:v>
                </c:pt>
                <c:pt idx="5">
                  <c:v>5499199</c:v>
                </c:pt>
                <c:pt idx="6">
                  <c:v>3937773</c:v>
                </c:pt>
                <c:pt idx="7">
                  <c:v>4271695</c:v>
                </c:pt>
                <c:pt idx="8">
                  <c:v>4199085</c:v>
                </c:pt>
                <c:pt idx="9">
                  <c:v>3937708</c:v>
                </c:pt>
                <c:pt idx="10">
                  <c:v>3733008</c:v>
                </c:pt>
                <c:pt idx="11">
                  <c:v>3568006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CA6-496D-A033-D808AE65CD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98158856"/>
        <c:axId val="598181384"/>
      </c:barChart>
      <c:catAx>
        <c:axId val="598158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98181384"/>
        <c:crosses val="autoZero"/>
        <c:auto val="1"/>
        <c:lblAlgn val="ctr"/>
        <c:lblOffset val="100"/>
        <c:noMultiLvlLbl val="0"/>
      </c:catAx>
      <c:valAx>
        <c:axId val="5981813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598158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5318610755206198"/>
          <c:y val="0.89372767428461686"/>
          <c:w val="0.29696084864391953"/>
          <c:h val="7.839776125545282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7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7.xml"/><Relationship Id="rId18" Type="http://schemas.openxmlformats.org/officeDocument/2006/relationships/image" Target="../media/image9.png"/><Relationship Id="rId26" Type="http://schemas.openxmlformats.org/officeDocument/2006/relationships/image" Target="../media/image16.png"/><Relationship Id="rId39" Type="http://schemas.openxmlformats.org/officeDocument/2006/relationships/chart" Target="../charts/chart23.xml"/><Relationship Id="rId21" Type="http://schemas.openxmlformats.org/officeDocument/2006/relationships/image" Target="../media/image11.png"/><Relationship Id="rId34" Type="http://schemas.openxmlformats.org/officeDocument/2006/relationships/chart" Target="../charts/chart18.xml"/><Relationship Id="rId7" Type="http://schemas.openxmlformats.org/officeDocument/2006/relationships/chart" Target="../charts/chart4.xml"/><Relationship Id="rId12" Type="http://schemas.openxmlformats.org/officeDocument/2006/relationships/chart" Target="../charts/chart6.xml"/><Relationship Id="rId17" Type="http://schemas.openxmlformats.org/officeDocument/2006/relationships/chart" Target="../charts/chart9.xml"/><Relationship Id="rId25" Type="http://schemas.openxmlformats.org/officeDocument/2006/relationships/image" Target="../media/image15.png"/><Relationship Id="rId33" Type="http://schemas.openxmlformats.org/officeDocument/2006/relationships/chart" Target="../charts/chart17.xml"/><Relationship Id="rId38" Type="http://schemas.openxmlformats.org/officeDocument/2006/relationships/chart" Target="../charts/chart22.xml"/><Relationship Id="rId2" Type="http://schemas.openxmlformats.org/officeDocument/2006/relationships/image" Target="../media/image1.png"/><Relationship Id="rId16" Type="http://schemas.openxmlformats.org/officeDocument/2006/relationships/image" Target="../media/image8.png"/><Relationship Id="rId20" Type="http://schemas.openxmlformats.org/officeDocument/2006/relationships/image" Target="../media/image10.png"/><Relationship Id="rId29" Type="http://schemas.openxmlformats.org/officeDocument/2006/relationships/chart" Target="../charts/chart13.xml"/><Relationship Id="rId1" Type="http://schemas.openxmlformats.org/officeDocument/2006/relationships/chart" Target="../charts/chart1.xml"/><Relationship Id="rId6" Type="http://schemas.openxmlformats.org/officeDocument/2006/relationships/chart" Target="../charts/chart3.xml"/><Relationship Id="rId11" Type="http://schemas.openxmlformats.org/officeDocument/2006/relationships/image" Target="../media/image6.png"/><Relationship Id="rId24" Type="http://schemas.openxmlformats.org/officeDocument/2006/relationships/image" Target="../media/image14.png"/><Relationship Id="rId32" Type="http://schemas.openxmlformats.org/officeDocument/2006/relationships/chart" Target="../charts/chart16.xml"/><Relationship Id="rId37" Type="http://schemas.openxmlformats.org/officeDocument/2006/relationships/chart" Target="../charts/chart21.xml"/><Relationship Id="rId5" Type="http://schemas.openxmlformats.org/officeDocument/2006/relationships/image" Target="../media/image3.png"/><Relationship Id="rId15" Type="http://schemas.openxmlformats.org/officeDocument/2006/relationships/chart" Target="../charts/chart8.xml"/><Relationship Id="rId23" Type="http://schemas.openxmlformats.org/officeDocument/2006/relationships/image" Target="../media/image13.png"/><Relationship Id="rId28" Type="http://schemas.openxmlformats.org/officeDocument/2006/relationships/chart" Target="../charts/chart12.xml"/><Relationship Id="rId36" Type="http://schemas.openxmlformats.org/officeDocument/2006/relationships/chart" Target="../charts/chart20.xml"/><Relationship Id="rId10" Type="http://schemas.openxmlformats.org/officeDocument/2006/relationships/image" Target="../media/image5.png"/><Relationship Id="rId19" Type="http://schemas.openxmlformats.org/officeDocument/2006/relationships/chart" Target="../charts/chart10.xml"/><Relationship Id="rId31" Type="http://schemas.openxmlformats.org/officeDocument/2006/relationships/chart" Target="../charts/chart15.xml"/><Relationship Id="rId4" Type="http://schemas.openxmlformats.org/officeDocument/2006/relationships/chart" Target="../charts/chart2.xml"/><Relationship Id="rId9" Type="http://schemas.openxmlformats.org/officeDocument/2006/relationships/chart" Target="../charts/chart5.xml"/><Relationship Id="rId14" Type="http://schemas.openxmlformats.org/officeDocument/2006/relationships/image" Target="../media/image7.png"/><Relationship Id="rId22" Type="http://schemas.openxmlformats.org/officeDocument/2006/relationships/image" Target="../media/image12.png"/><Relationship Id="rId27" Type="http://schemas.openxmlformats.org/officeDocument/2006/relationships/chart" Target="../charts/chart11.xml"/><Relationship Id="rId30" Type="http://schemas.openxmlformats.org/officeDocument/2006/relationships/chart" Target="../charts/chart14.xml"/><Relationship Id="rId35" Type="http://schemas.openxmlformats.org/officeDocument/2006/relationships/chart" Target="../charts/chart19.xml"/><Relationship Id="rId8" Type="http://schemas.openxmlformats.org/officeDocument/2006/relationships/image" Target="../media/image4.png"/><Relationship Id="rId3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9.png"/><Relationship Id="rId7" Type="http://schemas.openxmlformats.org/officeDocument/2006/relationships/chart" Target="../charts/chart26.xml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chart" Target="../charts/chart25.xml"/><Relationship Id="rId5" Type="http://schemas.openxmlformats.org/officeDocument/2006/relationships/chart" Target="../charts/chart24.xml"/><Relationship Id="rId4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2.xml"/><Relationship Id="rId13" Type="http://schemas.openxmlformats.org/officeDocument/2006/relationships/chart" Target="../charts/chart37.xml"/><Relationship Id="rId18" Type="http://schemas.openxmlformats.org/officeDocument/2006/relationships/chart" Target="../charts/chart42.xml"/><Relationship Id="rId26" Type="http://schemas.openxmlformats.org/officeDocument/2006/relationships/chart" Target="../charts/chart50.xml"/><Relationship Id="rId3" Type="http://schemas.openxmlformats.org/officeDocument/2006/relationships/image" Target="../media/image22.png"/><Relationship Id="rId21" Type="http://schemas.openxmlformats.org/officeDocument/2006/relationships/chart" Target="../charts/chart45.xml"/><Relationship Id="rId7" Type="http://schemas.openxmlformats.org/officeDocument/2006/relationships/chart" Target="../charts/chart31.xml"/><Relationship Id="rId12" Type="http://schemas.openxmlformats.org/officeDocument/2006/relationships/chart" Target="../charts/chart36.xml"/><Relationship Id="rId17" Type="http://schemas.openxmlformats.org/officeDocument/2006/relationships/chart" Target="../charts/chart41.xml"/><Relationship Id="rId25" Type="http://schemas.openxmlformats.org/officeDocument/2006/relationships/chart" Target="../charts/chart49.xml"/><Relationship Id="rId2" Type="http://schemas.openxmlformats.org/officeDocument/2006/relationships/chart" Target="../charts/chart28.xml"/><Relationship Id="rId16" Type="http://schemas.openxmlformats.org/officeDocument/2006/relationships/chart" Target="../charts/chart40.xml"/><Relationship Id="rId20" Type="http://schemas.openxmlformats.org/officeDocument/2006/relationships/chart" Target="../charts/chart44.xml"/><Relationship Id="rId29" Type="http://schemas.openxmlformats.org/officeDocument/2006/relationships/chart" Target="../charts/chart53.xml"/><Relationship Id="rId1" Type="http://schemas.openxmlformats.org/officeDocument/2006/relationships/chart" Target="../charts/chart27.xml"/><Relationship Id="rId6" Type="http://schemas.openxmlformats.org/officeDocument/2006/relationships/chart" Target="../charts/chart30.xml"/><Relationship Id="rId11" Type="http://schemas.openxmlformats.org/officeDocument/2006/relationships/chart" Target="../charts/chart35.xml"/><Relationship Id="rId24" Type="http://schemas.openxmlformats.org/officeDocument/2006/relationships/chart" Target="../charts/chart48.xml"/><Relationship Id="rId32" Type="http://schemas.openxmlformats.org/officeDocument/2006/relationships/chart" Target="../charts/chart56.xml"/><Relationship Id="rId5" Type="http://schemas.openxmlformats.org/officeDocument/2006/relationships/chart" Target="../charts/chart29.xml"/><Relationship Id="rId15" Type="http://schemas.openxmlformats.org/officeDocument/2006/relationships/chart" Target="../charts/chart39.xml"/><Relationship Id="rId23" Type="http://schemas.openxmlformats.org/officeDocument/2006/relationships/chart" Target="../charts/chart47.xml"/><Relationship Id="rId28" Type="http://schemas.openxmlformats.org/officeDocument/2006/relationships/chart" Target="../charts/chart52.xml"/><Relationship Id="rId10" Type="http://schemas.openxmlformats.org/officeDocument/2006/relationships/chart" Target="../charts/chart34.xml"/><Relationship Id="rId19" Type="http://schemas.openxmlformats.org/officeDocument/2006/relationships/chart" Target="../charts/chart43.xml"/><Relationship Id="rId31" Type="http://schemas.openxmlformats.org/officeDocument/2006/relationships/chart" Target="../charts/chart55.xml"/><Relationship Id="rId4" Type="http://schemas.openxmlformats.org/officeDocument/2006/relationships/image" Target="../media/image23.png"/><Relationship Id="rId9" Type="http://schemas.openxmlformats.org/officeDocument/2006/relationships/chart" Target="../charts/chart33.xml"/><Relationship Id="rId14" Type="http://schemas.openxmlformats.org/officeDocument/2006/relationships/chart" Target="../charts/chart38.xml"/><Relationship Id="rId22" Type="http://schemas.openxmlformats.org/officeDocument/2006/relationships/chart" Target="../charts/chart46.xml"/><Relationship Id="rId27" Type="http://schemas.openxmlformats.org/officeDocument/2006/relationships/chart" Target="../charts/chart51.xml"/><Relationship Id="rId30" Type="http://schemas.openxmlformats.org/officeDocument/2006/relationships/chart" Target="../charts/chart54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chart" Target="../charts/chart62.xml"/><Relationship Id="rId3" Type="http://schemas.openxmlformats.org/officeDocument/2006/relationships/chart" Target="../charts/chart57.xml"/><Relationship Id="rId7" Type="http://schemas.openxmlformats.org/officeDocument/2006/relationships/chart" Target="../charts/chart61.xml"/><Relationship Id="rId2" Type="http://schemas.openxmlformats.org/officeDocument/2006/relationships/image" Target="../media/image19.png"/><Relationship Id="rId1" Type="http://schemas.openxmlformats.org/officeDocument/2006/relationships/image" Target="../media/image24.png"/><Relationship Id="rId6" Type="http://schemas.openxmlformats.org/officeDocument/2006/relationships/chart" Target="../charts/chart60.xml"/><Relationship Id="rId5" Type="http://schemas.openxmlformats.org/officeDocument/2006/relationships/chart" Target="../charts/chart59.xml"/><Relationship Id="rId4" Type="http://schemas.openxmlformats.org/officeDocument/2006/relationships/chart" Target="../charts/chart58.xml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72.xml"/><Relationship Id="rId18" Type="http://schemas.openxmlformats.org/officeDocument/2006/relationships/chart" Target="../charts/chart77.xml"/><Relationship Id="rId26" Type="http://schemas.openxmlformats.org/officeDocument/2006/relationships/chart" Target="../charts/chart85.xml"/><Relationship Id="rId39" Type="http://schemas.openxmlformats.org/officeDocument/2006/relationships/chart" Target="../charts/chart98.xml"/><Relationship Id="rId21" Type="http://schemas.openxmlformats.org/officeDocument/2006/relationships/chart" Target="../charts/chart80.xml"/><Relationship Id="rId34" Type="http://schemas.openxmlformats.org/officeDocument/2006/relationships/chart" Target="../charts/chart93.xml"/><Relationship Id="rId42" Type="http://schemas.openxmlformats.org/officeDocument/2006/relationships/chart" Target="../charts/chart101.xml"/><Relationship Id="rId47" Type="http://schemas.openxmlformats.org/officeDocument/2006/relationships/chart" Target="../charts/chart106.xml"/><Relationship Id="rId7" Type="http://schemas.openxmlformats.org/officeDocument/2006/relationships/image" Target="../media/image26.png"/><Relationship Id="rId2" Type="http://schemas.openxmlformats.org/officeDocument/2006/relationships/chart" Target="../charts/chart64.xml"/><Relationship Id="rId16" Type="http://schemas.openxmlformats.org/officeDocument/2006/relationships/chart" Target="../charts/chart75.xml"/><Relationship Id="rId29" Type="http://schemas.openxmlformats.org/officeDocument/2006/relationships/chart" Target="../charts/chart88.xml"/><Relationship Id="rId1" Type="http://schemas.openxmlformats.org/officeDocument/2006/relationships/chart" Target="../charts/chart63.xml"/><Relationship Id="rId6" Type="http://schemas.openxmlformats.org/officeDocument/2006/relationships/chart" Target="../charts/chart67.xml"/><Relationship Id="rId11" Type="http://schemas.openxmlformats.org/officeDocument/2006/relationships/chart" Target="../charts/chart70.xml"/><Relationship Id="rId24" Type="http://schemas.openxmlformats.org/officeDocument/2006/relationships/chart" Target="../charts/chart83.xml"/><Relationship Id="rId32" Type="http://schemas.openxmlformats.org/officeDocument/2006/relationships/chart" Target="../charts/chart91.xml"/><Relationship Id="rId37" Type="http://schemas.openxmlformats.org/officeDocument/2006/relationships/chart" Target="../charts/chart96.xml"/><Relationship Id="rId40" Type="http://schemas.openxmlformats.org/officeDocument/2006/relationships/chart" Target="../charts/chart99.xml"/><Relationship Id="rId45" Type="http://schemas.openxmlformats.org/officeDocument/2006/relationships/chart" Target="../charts/chart104.xml"/><Relationship Id="rId5" Type="http://schemas.openxmlformats.org/officeDocument/2006/relationships/chart" Target="../charts/chart66.xml"/><Relationship Id="rId15" Type="http://schemas.openxmlformats.org/officeDocument/2006/relationships/chart" Target="../charts/chart74.xml"/><Relationship Id="rId23" Type="http://schemas.openxmlformats.org/officeDocument/2006/relationships/chart" Target="../charts/chart82.xml"/><Relationship Id="rId28" Type="http://schemas.openxmlformats.org/officeDocument/2006/relationships/chart" Target="../charts/chart87.xml"/><Relationship Id="rId36" Type="http://schemas.openxmlformats.org/officeDocument/2006/relationships/chart" Target="../charts/chart95.xml"/><Relationship Id="rId10" Type="http://schemas.openxmlformats.org/officeDocument/2006/relationships/chart" Target="../charts/chart69.xml"/><Relationship Id="rId19" Type="http://schemas.openxmlformats.org/officeDocument/2006/relationships/chart" Target="../charts/chart78.xml"/><Relationship Id="rId31" Type="http://schemas.openxmlformats.org/officeDocument/2006/relationships/chart" Target="../charts/chart90.xml"/><Relationship Id="rId44" Type="http://schemas.openxmlformats.org/officeDocument/2006/relationships/chart" Target="../charts/chart103.xml"/><Relationship Id="rId4" Type="http://schemas.openxmlformats.org/officeDocument/2006/relationships/chart" Target="../charts/chart65.xml"/><Relationship Id="rId9" Type="http://schemas.openxmlformats.org/officeDocument/2006/relationships/chart" Target="../charts/chart68.xml"/><Relationship Id="rId14" Type="http://schemas.openxmlformats.org/officeDocument/2006/relationships/chart" Target="../charts/chart73.xml"/><Relationship Id="rId22" Type="http://schemas.openxmlformats.org/officeDocument/2006/relationships/chart" Target="../charts/chart81.xml"/><Relationship Id="rId27" Type="http://schemas.openxmlformats.org/officeDocument/2006/relationships/chart" Target="../charts/chart86.xml"/><Relationship Id="rId30" Type="http://schemas.openxmlformats.org/officeDocument/2006/relationships/chart" Target="../charts/chart89.xml"/><Relationship Id="rId35" Type="http://schemas.openxmlformats.org/officeDocument/2006/relationships/chart" Target="../charts/chart94.xml"/><Relationship Id="rId43" Type="http://schemas.openxmlformats.org/officeDocument/2006/relationships/chart" Target="../charts/chart102.xml"/><Relationship Id="rId8" Type="http://schemas.openxmlformats.org/officeDocument/2006/relationships/image" Target="../media/image27.png"/><Relationship Id="rId3" Type="http://schemas.openxmlformats.org/officeDocument/2006/relationships/image" Target="../media/image25.png"/><Relationship Id="rId12" Type="http://schemas.openxmlformats.org/officeDocument/2006/relationships/chart" Target="../charts/chart71.xml"/><Relationship Id="rId17" Type="http://schemas.openxmlformats.org/officeDocument/2006/relationships/chart" Target="../charts/chart76.xml"/><Relationship Id="rId25" Type="http://schemas.openxmlformats.org/officeDocument/2006/relationships/chart" Target="../charts/chart84.xml"/><Relationship Id="rId33" Type="http://schemas.openxmlformats.org/officeDocument/2006/relationships/chart" Target="../charts/chart92.xml"/><Relationship Id="rId38" Type="http://schemas.openxmlformats.org/officeDocument/2006/relationships/chart" Target="../charts/chart97.xml"/><Relationship Id="rId46" Type="http://schemas.openxmlformats.org/officeDocument/2006/relationships/chart" Target="../charts/chart105.xml"/><Relationship Id="rId20" Type="http://schemas.openxmlformats.org/officeDocument/2006/relationships/chart" Target="../charts/chart79.xml"/><Relationship Id="rId41" Type="http://schemas.openxmlformats.org/officeDocument/2006/relationships/chart" Target="../charts/chart100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7.xml"/><Relationship Id="rId2" Type="http://schemas.openxmlformats.org/officeDocument/2006/relationships/image" Target="../media/image19.png"/><Relationship Id="rId1" Type="http://schemas.openxmlformats.org/officeDocument/2006/relationships/image" Target="../media/image28.png"/><Relationship Id="rId6" Type="http://schemas.openxmlformats.org/officeDocument/2006/relationships/chart" Target="../charts/chart110.xml"/><Relationship Id="rId5" Type="http://schemas.openxmlformats.org/officeDocument/2006/relationships/chart" Target="../charts/chart109.xml"/><Relationship Id="rId4" Type="http://schemas.openxmlformats.org/officeDocument/2006/relationships/chart" Target="../charts/chart10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64</xdr:col>
      <xdr:colOff>504826</xdr:colOff>
      <xdr:row>0</xdr:row>
      <xdr:rowOff>0</xdr:rowOff>
    </xdr:from>
    <xdr:to>
      <xdr:col>74</xdr:col>
      <xdr:colOff>285751</xdr:colOff>
      <xdr:row>20</xdr:row>
      <xdr:rowOff>0</xdr:rowOff>
    </xdr:to>
    <xdr:graphicFrame macro="">
      <xdr:nvGraphicFramePr>
        <xdr:cNvPr id="220" name="Gráfico 1">
          <a:extLst>
            <a:ext uri="{FF2B5EF4-FFF2-40B4-BE49-F238E27FC236}">
              <a16:creationId xmlns:a16="http://schemas.microsoft.com/office/drawing/2014/main" id="{F8F0172F-D928-8FE0-FC89-4B55B071160C}"/>
            </a:ext>
            <a:ext uri="{147F2762-F138-4A5C-976F-8EAC2B608ADB}">
              <a16:predDERef xmlns:a16="http://schemas.microsoft.com/office/drawing/2014/main" pred="{037ED8CA-13D8-90C4-51A1-94D2B8AC88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64</xdr:col>
      <xdr:colOff>0</xdr:colOff>
      <xdr:row>29</xdr:row>
      <xdr:rowOff>0</xdr:rowOff>
    </xdr:from>
    <xdr:to>
      <xdr:col>70</xdr:col>
      <xdr:colOff>762000</xdr:colOff>
      <xdr:row>46</xdr:row>
      <xdr:rowOff>97971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36F3E5BC-713F-B971-3236-7B4B80CB354F}"/>
            </a:ext>
            <a:ext uri="{147F2762-F138-4A5C-976F-8EAC2B608ADB}">
              <a16:predDERef xmlns:a16="http://schemas.microsoft.com/office/drawing/2014/main" pred="{F8F0172F-D928-8FE0-FC89-4B55B0711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425725" y="5419725"/>
          <a:ext cx="4572000" cy="3286125"/>
        </a:xfrm>
        <a:prstGeom prst="rect">
          <a:avLst/>
        </a:prstGeom>
      </xdr:spPr>
    </xdr:pic>
    <xdr:clientData/>
  </xdr:twoCellAnchor>
  <xdr:twoCellAnchor editAs="oneCell">
    <xdr:from>
      <xdr:col>63</xdr:col>
      <xdr:colOff>552450</xdr:colOff>
      <xdr:row>47</xdr:row>
      <xdr:rowOff>47625</xdr:rowOff>
    </xdr:from>
    <xdr:to>
      <xdr:col>70</xdr:col>
      <xdr:colOff>704850</xdr:colOff>
      <xdr:row>63</xdr:row>
      <xdr:rowOff>24493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F815AB92-55EF-CAA1-70A9-3034A698DC84}"/>
            </a:ext>
            <a:ext uri="{147F2762-F138-4A5C-976F-8EAC2B608ADB}">
              <a16:predDERef xmlns:a16="http://schemas.microsoft.com/office/drawing/2014/main" pred="{36F3E5BC-713F-B971-3236-7B4B80CB35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68575" y="8791575"/>
          <a:ext cx="4572000" cy="3124200"/>
        </a:xfrm>
        <a:prstGeom prst="rect">
          <a:avLst/>
        </a:prstGeom>
      </xdr:spPr>
    </xdr:pic>
    <xdr:clientData/>
  </xdr:twoCellAnchor>
  <xdr:twoCellAnchor>
    <xdr:from>
      <xdr:col>74</xdr:col>
      <xdr:colOff>476250</xdr:colOff>
      <xdr:row>0</xdr:row>
      <xdr:rowOff>0</xdr:rowOff>
    </xdr:from>
    <xdr:to>
      <xdr:col>81</xdr:col>
      <xdr:colOff>342900</xdr:colOff>
      <xdr:row>14</xdr:row>
      <xdr:rowOff>85725</xdr:rowOff>
    </xdr:to>
    <xdr:graphicFrame macro="">
      <xdr:nvGraphicFramePr>
        <xdr:cNvPr id="203" name="Gráfico 6">
          <a:extLst>
            <a:ext uri="{FF2B5EF4-FFF2-40B4-BE49-F238E27FC236}">
              <a16:creationId xmlns:a16="http://schemas.microsoft.com/office/drawing/2014/main" id="{CE387ACF-3B45-F2B2-9C62-98856300D7D3}"/>
            </a:ext>
            <a:ext uri="{147F2762-F138-4A5C-976F-8EAC2B608ADB}">
              <a16:predDERef xmlns:a16="http://schemas.microsoft.com/office/drawing/2014/main" pred="{F815AB92-55EF-CAA1-70A9-3034A698DC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64</xdr:col>
      <xdr:colOff>114300</xdr:colOff>
      <xdr:row>73</xdr:row>
      <xdr:rowOff>66675</xdr:rowOff>
    </xdr:from>
    <xdr:to>
      <xdr:col>69</xdr:col>
      <xdr:colOff>533400</xdr:colOff>
      <xdr:row>97</xdr:row>
      <xdr:rowOff>21317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717ECC1B-AB47-A42A-4167-AAC48DE299F1}"/>
            </a:ext>
            <a:ext uri="{147F2762-F138-4A5C-976F-8EAC2B608ADB}">
              <a16:predDERef xmlns:a16="http://schemas.microsoft.com/office/drawing/2014/main" pred="{CE387ACF-3B45-F2B2-9C62-98856300D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40025" y="13754100"/>
          <a:ext cx="3619500" cy="4572000"/>
        </a:xfrm>
        <a:prstGeom prst="rect">
          <a:avLst/>
        </a:prstGeom>
      </xdr:spPr>
    </xdr:pic>
    <xdr:clientData/>
  </xdr:twoCellAnchor>
  <xdr:twoCellAnchor>
    <xdr:from>
      <xdr:col>53</xdr:col>
      <xdr:colOff>142875</xdr:colOff>
      <xdr:row>39</xdr:row>
      <xdr:rowOff>114300</xdr:rowOff>
    </xdr:from>
    <xdr:to>
      <xdr:col>59</xdr:col>
      <xdr:colOff>28575</xdr:colOff>
      <xdr:row>54</xdr:row>
      <xdr:rowOff>19050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3D2F5B79-38B0-A585-8EE2-0CC0A71270D3}"/>
            </a:ext>
            <a:ext uri="{147F2762-F138-4A5C-976F-8EAC2B608ADB}">
              <a16:predDERef xmlns:a16="http://schemas.microsoft.com/office/drawing/2014/main" pred="{717ECC1B-AB47-A42A-4167-AAC48DE299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48</xdr:col>
      <xdr:colOff>343808</xdr:colOff>
      <xdr:row>39</xdr:row>
      <xdr:rowOff>123825</xdr:rowOff>
    </xdr:from>
    <xdr:to>
      <xdr:col>52</xdr:col>
      <xdr:colOff>713015</xdr:colOff>
      <xdr:row>54</xdr:row>
      <xdr:rowOff>142874</xdr:rowOff>
    </xdr:to>
    <xdr:graphicFrame macro="">
      <xdr:nvGraphicFramePr>
        <xdr:cNvPr id="39" name="Gráfico 10">
          <a:extLst>
            <a:ext uri="{FF2B5EF4-FFF2-40B4-BE49-F238E27FC236}">
              <a16:creationId xmlns:a16="http://schemas.microsoft.com/office/drawing/2014/main" id="{DD4EAC54-0B04-157B-07F5-8F4A91C43358}"/>
            </a:ext>
            <a:ext uri="{147F2762-F138-4A5C-976F-8EAC2B608ADB}">
              <a16:predDERef xmlns:a16="http://schemas.microsoft.com/office/drawing/2014/main" pred="{3D2F5B79-38B0-A585-8EE2-0CC0A71270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 editAs="oneCell">
    <xdr:from>
      <xdr:col>90</xdr:col>
      <xdr:colOff>19050</xdr:colOff>
      <xdr:row>72</xdr:row>
      <xdr:rowOff>9525</xdr:rowOff>
    </xdr:from>
    <xdr:to>
      <xdr:col>96</xdr:col>
      <xdr:colOff>28575</xdr:colOff>
      <xdr:row>78</xdr:row>
      <xdr:rowOff>153307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48723557-A12F-1191-8D95-DEF5A08AC01F}"/>
            </a:ext>
            <a:ext uri="{147F2762-F138-4A5C-976F-8EAC2B608ADB}">
              <a16:predDERef xmlns:a16="http://schemas.microsoft.com/office/drawing/2014/main" pred="{50E052A2-7667-C24F-3DBE-236338E34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561200" y="13420725"/>
          <a:ext cx="4572000" cy="1304925"/>
        </a:xfrm>
        <a:prstGeom prst="rect">
          <a:avLst/>
        </a:prstGeom>
      </xdr:spPr>
    </xdr:pic>
    <xdr:clientData/>
  </xdr:twoCellAnchor>
  <xdr:twoCellAnchor>
    <xdr:from>
      <xdr:col>99</xdr:col>
      <xdr:colOff>38100</xdr:colOff>
      <xdr:row>81</xdr:row>
      <xdr:rowOff>152400</xdr:rowOff>
    </xdr:from>
    <xdr:to>
      <xdr:col>106</xdr:col>
      <xdr:colOff>342900</xdr:colOff>
      <xdr:row>96</xdr:row>
      <xdr:rowOff>47625</xdr:rowOff>
    </xdr:to>
    <xdr:graphicFrame macro="">
      <xdr:nvGraphicFramePr>
        <xdr:cNvPr id="44" name="Gráfico 11">
          <a:extLst>
            <a:ext uri="{FF2B5EF4-FFF2-40B4-BE49-F238E27FC236}">
              <a16:creationId xmlns:a16="http://schemas.microsoft.com/office/drawing/2014/main" id="{564EB853-5AF8-1887-FC42-79B70DC1A856}"/>
            </a:ext>
            <a:ext uri="{147F2762-F138-4A5C-976F-8EAC2B608ADB}">
              <a16:predDERef xmlns:a16="http://schemas.microsoft.com/office/drawing/2014/main" pred="{48723557-A12F-1191-8D95-DEF5A08AC01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 editAs="oneCell">
    <xdr:from>
      <xdr:col>90</xdr:col>
      <xdr:colOff>600075</xdr:colOff>
      <xdr:row>64</xdr:row>
      <xdr:rowOff>152400</xdr:rowOff>
    </xdr:from>
    <xdr:to>
      <xdr:col>96</xdr:col>
      <xdr:colOff>600075</xdr:colOff>
      <xdr:row>71</xdr:row>
      <xdr:rowOff>133350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84ACDCE1-C43A-A0FA-10D8-D2F790159BD5}"/>
            </a:ext>
            <a:ext uri="{147F2762-F138-4A5C-976F-8EAC2B608ADB}">
              <a16:predDERef xmlns:a16="http://schemas.microsoft.com/office/drawing/2014/main" pred="{564EB853-5AF8-1887-FC42-79B70DC1A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1142225" y="12096750"/>
          <a:ext cx="4562475" cy="1314450"/>
        </a:xfrm>
        <a:prstGeom prst="rect">
          <a:avLst/>
        </a:prstGeom>
      </xdr:spPr>
    </xdr:pic>
    <xdr:clientData/>
  </xdr:twoCellAnchor>
  <xdr:twoCellAnchor editAs="oneCell">
    <xdr:from>
      <xdr:col>107</xdr:col>
      <xdr:colOff>600075</xdr:colOff>
      <xdr:row>63</xdr:row>
      <xdr:rowOff>0</xdr:rowOff>
    </xdr:from>
    <xdr:to>
      <xdr:col>115</xdr:col>
      <xdr:colOff>57151</xdr:colOff>
      <xdr:row>76</xdr:row>
      <xdr:rowOff>104774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877EA7A8-7CAB-F630-200B-6803319CF7F8}"/>
            </a:ext>
            <a:ext uri="{147F2762-F138-4A5C-976F-8EAC2B608ADB}">
              <a16:predDERef xmlns:a16="http://schemas.microsoft.com/office/drawing/2014/main" pred="{84ACDCE1-C43A-A0FA-10D8-D2F790159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2057875" y="11782425"/>
          <a:ext cx="4562475" cy="2581275"/>
        </a:xfrm>
        <a:prstGeom prst="rect">
          <a:avLst/>
        </a:prstGeom>
      </xdr:spPr>
    </xdr:pic>
    <xdr:clientData/>
  </xdr:twoCellAnchor>
  <xdr:twoCellAnchor>
    <xdr:from>
      <xdr:col>111</xdr:col>
      <xdr:colOff>342900</xdr:colOff>
      <xdr:row>79</xdr:row>
      <xdr:rowOff>9525</xdr:rowOff>
    </xdr:from>
    <xdr:to>
      <xdr:col>118</xdr:col>
      <xdr:colOff>647700</xdr:colOff>
      <xdr:row>93</xdr:row>
      <xdr:rowOff>85725</xdr:rowOff>
    </xdr:to>
    <xdr:graphicFrame macro="">
      <xdr:nvGraphicFramePr>
        <xdr:cNvPr id="14" name="Gráfico 13">
          <a:extLst>
            <a:ext uri="{FF2B5EF4-FFF2-40B4-BE49-F238E27FC236}">
              <a16:creationId xmlns:a16="http://schemas.microsoft.com/office/drawing/2014/main" id="{3729A9F3-1985-23F2-08F0-93C20F6AB814}"/>
            </a:ext>
            <a:ext uri="{147F2762-F138-4A5C-976F-8EAC2B608ADB}">
              <a16:predDERef xmlns:a16="http://schemas.microsoft.com/office/drawing/2014/main" pred="{877EA7A8-7CAB-F630-200B-6803319CF7F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70</xdr:col>
      <xdr:colOff>171450</xdr:colOff>
      <xdr:row>147</xdr:row>
      <xdr:rowOff>66675</xdr:rowOff>
    </xdr:from>
    <xdr:to>
      <xdr:col>75</xdr:col>
      <xdr:colOff>581025</xdr:colOff>
      <xdr:row>161</xdr:row>
      <xdr:rowOff>142875</xdr:rowOff>
    </xdr:to>
    <xdr:graphicFrame macro="">
      <xdr:nvGraphicFramePr>
        <xdr:cNvPr id="11" name="Gráfico 14">
          <a:extLst>
            <a:ext uri="{FF2B5EF4-FFF2-40B4-BE49-F238E27FC236}">
              <a16:creationId xmlns:a16="http://schemas.microsoft.com/office/drawing/2014/main" id="{9AA4C78C-36BD-0E4B-2E08-75EA1075A95B}"/>
            </a:ext>
            <a:ext uri="{147F2762-F138-4A5C-976F-8EAC2B608ADB}">
              <a16:predDERef xmlns:a16="http://schemas.microsoft.com/office/drawing/2014/main" pred="{3729A9F3-1985-23F2-08F0-93C20F6AB81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69</xdr:col>
      <xdr:colOff>561975</xdr:colOff>
      <xdr:row>121</xdr:row>
      <xdr:rowOff>142875</xdr:rowOff>
    </xdr:from>
    <xdr:to>
      <xdr:col>75</xdr:col>
      <xdr:colOff>361950</xdr:colOff>
      <xdr:row>135</xdr:row>
      <xdr:rowOff>9525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DD2EA1A1-A124-A6C8-8322-F235A36AA665}"/>
            </a:ext>
            <a:ext uri="{147F2762-F138-4A5C-976F-8EAC2B608ADB}">
              <a16:predDERef xmlns:a16="http://schemas.microsoft.com/office/drawing/2014/main" pred="{9AA4C78C-36BD-0E4B-2E08-75EA1075A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7188100" y="22974300"/>
          <a:ext cx="4572000" cy="2533650"/>
        </a:xfrm>
        <a:prstGeom prst="rect">
          <a:avLst/>
        </a:prstGeom>
      </xdr:spPr>
    </xdr:pic>
    <xdr:clientData/>
  </xdr:twoCellAnchor>
  <xdr:twoCellAnchor>
    <xdr:from>
      <xdr:col>79</xdr:col>
      <xdr:colOff>504825</xdr:colOff>
      <xdr:row>140</xdr:row>
      <xdr:rowOff>0</xdr:rowOff>
    </xdr:from>
    <xdr:to>
      <xdr:col>87</xdr:col>
      <xdr:colOff>200025</xdr:colOff>
      <xdr:row>154</xdr:row>
      <xdr:rowOff>76200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0E5045D2-82DA-B563-FB84-CE2D707426CD}"/>
            </a:ext>
            <a:ext uri="{147F2762-F138-4A5C-976F-8EAC2B608ADB}">
              <a16:predDERef xmlns:a16="http://schemas.microsoft.com/office/drawing/2014/main" pred="{DD2EA1A1-A124-A6C8-8322-F235A36AA66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 editAs="oneCell">
    <xdr:from>
      <xdr:col>79</xdr:col>
      <xdr:colOff>542925</xdr:colOff>
      <xdr:row>154</xdr:row>
      <xdr:rowOff>104775</xdr:rowOff>
    </xdr:from>
    <xdr:to>
      <xdr:col>86</xdr:col>
      <xdr:colOff>183697</xdr:colOff>
      <xdr:row>167</xdr:row>
      <xdr:rowOff>164343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5B7D8964-B3CB-EDEF-12A7-FDF675C99C61}"/>
            </a:ext>
            <a:ext uri="{147F2762-F138-4A5C-976F-8EAC2B608ADB}">
              <a16:predDERef xmlns:a16="http://schemas.microsoft.com/office/drawing/2014/main" pred="{0E5045D2-82DA-B563-FB84-CE2D70742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4379475" y="29222700"/>
          <a:ext cx="4572000" cy="2552700"/>
        </a:xfrm>
        <a:prstGeom prst="rect">
          <a:avLst/>
        </a:prstGeom>
      </xdr:spPr>
    </xdr:pic>
    <xdr:clientData/>
  </xdr:twoCellAnchor>
  <xdr:twoCellAnchor>
    <xdr:from>
      <xdr:col>98</xdr:col>
      <xdr:colOff>285750</xdr:colOff>
      <xdr:row>145</xdr:row>
      <xdr:rowOff>19050</xdr:rowOff>
    </xdr:from>
    <xdr:to>
      <xdr:col>105</xdr:col>
      <xdr:colOff>590550</xdr:colOff>
      <xdr:row>159</xdr:row>
      <xdr:rowOff>95250</xdr:rowOff>
    </xdr:to>
    <xdr:graphicFrame macro="">
      <xdr:nvGraphicFramePr>
        <xdr:cNvPr id="46" name="Gráfico 18">
          <a:extLst>
            <a:ext uri="{FF2B5EF4-FFF2-40B4-BE49-F238E27FC236}">
              <a16:creationId xmlns:a16="http://schemas.microsoft.com/office/drawing/2014/main" id="{DA163BDC-0805-4974-FDE1-076986C728B1}"/>
            </a:ext>
            <a:ext uri="{147F2762-F138-4A5C-976F-8EAC2B608ADB}">
              <a16:predDERef xmlns:a16="http://schemas.microsoft.com/office/drawing/2014/main" pred="{5B7D8964-B3CB-EDEF-12A7-FDF675C99C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 editAs="oneCell">
    <xdr:from>
      <xdr:col>97</xdr:col>
      <xdr:colOff>295275</xdr:colOff>
      <xdr:row>116</xdr:row>
      <xdr:rowOff>0</xdr:rowOff>
    </xdr:from>
    <xdr:to>
      <xdr:col>104</xdr:col>
      <xdr:colOff>247650</xdr:colOff>
      <xdr:row>128</xdr:row>
      <xdr:rowOff>172358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BE7CA4D7-A515-E982-65FC-0158F0F05B2D}"/>
            </a:ext>
            <a:ext uri="{147F2762-F138-4A5C-976F-8EAC2B608ADB}">
              <a16:predDERef xmlns:a16="http://schemas.microsoft.com/office/drawing/2014/main" pred="{DA163BDC-0805-4974-FDE1-076986C72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5485625" y="21878925"/>
          <a:ext cx="4572000" cy="2476500"/>
        </a:xfrm>
        <a:prstGeom prst="rect">
          <a:avLst/>
        </a:prstGeom>
      </xdr:spPr>
    </xdr:pic>
    <xdr:clientData/>
  </xdr:twoCellAnchor>
  <xdr:twoCellAnchor>
    <xdr:from>
      <xdr:col>110</xdr:col>
      <xdr:colOff>9525</xdr:colOff>
      <xdr:row>143</xdr:row>
      <xdr:rowOff>9525</xdr:rowOff>
    </xdr:from>
    <xdr:to>
      <xdr:col>117</xdr:col>
      <xdr:colOff>85725</xdr:colOff>
      <xdr:row>157</xdr:row>
      <xdr:rowOff>85725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324A4BB8-BB10-BCA7-FEAF-FC824A9B48B6}"/>
            </a:ext>
            <a:ext uri="{147F2762-F138-4A5C-976F-8EAC2B608ADB}">
              <a16:predDERef xmlns:a16="http://schemas.microsoft.com/office/drawing/2014/main" pred="{BE7CA4D7-A515-E982-65FC-0158F0F05B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 editAs="oneCell">
    <xdr:from>
      <xdr:col>111</xdr:col>
      <xdr:colOff>76200</xdr:colOff>
      <xdr:row>115</xdr:row>
      <xdr:rowOff>19050</xdr:rowOff>
    </xdr:from>
    <xdr:to>
      <xdr:col>118</xdr:col>
      <xdr:colOff>371475</xdr:colOff>
      <xdr:row>127</xdr:row>
      <xdr:rowOff>143329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10C06808-87C0-C4B3-89F2-0C2A74D30AD3}"/>
            </a:ext>
            <a:ext uri="{147F2762-F138-4A5C-976F-8EAC2B608ADB}">
              <a16:predDERef xmlns:a16="http://schemas.microsoft.com/office/drawing/2014/main" pred="{324A4BB8-BB10-BCA7-FEAF-FC824A9B4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4201000" y="21707475"/>
          <a:ext cx="4562475" cy="2419350"/>
        </a:xfrm>
        <a:prstGeom prst="rect">
          <a:avLst/>
        </a:prstGeom>
      </xdr:spPr>
    </xdr:pic>
    <xdr:clientData/>
  </xdr:twoCellAnchor>
  <xdr:twoCellAnchor editAs="oneCell">
    <xdr:from>
      <xdr:col>69</xdr:col>
      <xdr:colOff>600075</xdr:colOff>
      <xdr:row>165</xdr:row>
      <xdr:rowOff>0</xdr:rowOff>
    </xdr:from>
    <xdr:to>
      <xdr:col>75</xdr:col>
      <xdr:colOff>400050</xdr:colOff>
      <xdr:row>178</xdr:row>
      <xdr:rowOff>125186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81A86549-C102-C6A3-1588-824E58CD9FC3}"/>
            </a:ext>
            <a:ext uri="{147F2762-F138-4A5C-976F-8EAC2B608ADB}">
              <a16:predDERef xmlns:a16="http://schemas.microsoft.com/office/drawing/2014/main" pred="{10C06808-87C0-C4B3-89F2-0C2A74D30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7226200" y="31213425"/>
          <a:ext cx="4572000" cy="2628900"/>
        </a:xfrm>
        <a:prstGeom prst="rect">
          <a:avLst/>
        </a:prstGeom>
      </xdr:spPr>
    </xdr:pic>
    <xdr:clientData/>
  </xdr:twoCellAnchor>
  <xdr:twoCellAnchor editAs="oneCell">
    <xdr:from>
      <xdr:col>81</xdr:col>
      <xdr:colOff>247650</xdr:colOff>
      <xdr:row>173</xdr:row>
      <xdr:rowOff>104775</xdr:rowOff>
    </xdr:from>
    <xdr:to>
      <xdr:col>88</xdr:col>
      <xdr:colOff>542925</xdr:colOff>
      <xdr:row>186</xdr:row>
      <xdr:rowOff>123824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2C0CDE73-E447-38F1-DE64-C2FB2336D982}"/>
            </a:ext>
            <a:ext uri="{147F2762-F138-4A5C-976F-8EAC2B608ADB}">
              <a16:predDERef xmlns:a16="http://schemas.microsoft.com/office/drawing/2014/main" pred="{81A86549-C102-C6A3-1588-824E58CD9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303400" y="32842200"/>
          <a:ext cx="4562475" cy="2495550"/>
        </a:xfrm>
        <a:prstGeom prst="rect">
          <a:avLst/>
        </a:prstGeom>
      </xdr:spPr>
    </xdr:pic>
    <xdr:clientData/>
  </xdr:twoCellAnchor>
  <xdr:twoCellAnchor editAs="oneCell">
    <xdr:from>
      <xdr:col>96</xdr:col>
      <xdr:colOff>371475</xdr:colOff>
      <xdr:row>173</xdr:row>
      <xdr:rowOff>28575</xdr:rowOff>
    </xdr:from>
    <xdr:to>
      <xdr:col>103</xdr:col>
      <xdr:colOff>323849</xdr:colOff>
      <xdr:row>186</xdr:row>
      <xdr:rowOff>6349</xdr:rowOff>
    </xdr:to>
    <xdr:pic>
      <xdr:nvPicPr>
        <xdr:cNvPr id="45" name="Imagem 24">
          <a:extLst>
            <a:ext uri="{FF2B5EF4-FFF2-40B4-BE49-F238E27FC236}">
              <a16:creationId xmlns:a16="http://schemas.microsoft.com/office/drawing/2014/main" id="{2BF5CC09-830F-A6B9-EE90-E438C63783D4}"/>
            </a:ext>
            <a:ext uri="{147F2762-F138-4A5C-976F-8EAC2B608ADB}">
              <a16:predDERef xmlns:a16="http://schemas.microsoft.com/office/drawing/2014/main" pred="{2C0CDE73-E447-38F1-DE64-C2FB2336D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4952225" y="31346775"/>
          <a:ext cx="4572000" cy="2371725"/>
        </a:xfrm>
        <a:prstGeom prst="rect">
          <a:avLst/>
        </a:prstGeom>
      </xdr:spPr>
    </xdr:pic>
    <xdr:clientData/>
  </xdr:twoCellAnchor>
  <xdr:twoCellAnchor editAs="oneCell">
    <xdr:from>
      <xdr:col>110</xdr:col>
      <xdr:colOff>390525</xdr:colOff>
      <xdr:row>173</xdr:row>
      <xdr:rowOff>85725</xdr:rowOff>
    </xdr:from>
    <xdr:to>
      <xdr:col>117</xdr:col>
      <xdr:colOff>457200</xdr:colOff>
      <xdr:row>186</xdr:row>
      <xdr:rowOff>47624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A49F362D-1D58-C40E-401C-F67B7AD22236}"/>
            </a:ext>
            <a:ext uri="{147F2762-F138-4A5C-976F-8EAC2B608ADB}">
              <a16:predDERef xmlns:a16="http://schemas.microsoft.com/office/drawing/2014/main" pred="{2BF5CC09-830F-A6B9-EE90-E438C6378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3677125" y="32823150"/>
          <a:ext cx="4562475" cy="2438400"/>
        </a:xfrm>
        <a:prstGeom prst="rect">
          <a:avLst/>
        </a:prstGeom>
      </xdr:spPr>
    </xdr:pic>
    <xdr:clientData/>
  </xdr:twoCellAnchor>
  <xdr:twoCellAnchor editAs="oneCell">
    <xdr:from>
      <xdr:col>70</xdr:col>
      <xdr:colOff>123825</xdr:colOff>
      <xdr:row>210</xdr:row>
      <xdr:rowOff>114300</xdr:rowOff>
    </xdr:from>
    <xdr:to>
      <xdr:col>75</xdr:col>
      <xdr:colOff>533400</xdr:colOff>
      <xdr:row>223</xdr:row>
      <xdr:rowOff>143328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307C695B-AD99-F865-0D16-46D84496F671}"/>
            </a:ext>
            <a:ext uri="{147F2762-F138-4A5C-976F-8EAC2B608ADB}">
              <a16:predDERef xmlns:a16="http://schemas.microsoft.com/office/drawing/2014/main" pred="{A49F362D-1D58-C40E-401C-F67B7AD22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359550" y="38185725"/>
          <a:ext cx="4572000" cy="2457450"/>
        </a:xfrm>
        <a:prstGeom prst="rect">
          <a:avLst/>
        </a:prstGeom>
      </xdr:spPr>
    </xdr:pic>
    <xdr:clientData/>
  </xdr:twoCellAnchor>
  <xdr:twoCellAnchor editAs="oneCell">
    <xdr:from>
      <xdr:col>82</xdr:col>
      <xdr:colOff>238125</xdr:colOff>
      <xdr:row>209</xdr:row>
      <xdr:rowOff>57150</xdr:rowOff>
    </xdr:from>
    <xdr:to>
      <xdr:col>89</xdr:col>
      <xdr:colOff>542925</xdr:colOff>
      <xdr:row>222</xdr:row>
      <xdr:rowOff>38554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42AE5D85-D5F3-4CAD-5D9E-42618DC3E536}"/>
            </a:ext>
            <a:ext uri="{147F2762-F138-4A5C-976F-8EAC2B608ADB}">
              <a16:predDERef xmlns:a16="http://schemas.microsoft.com/office/drawing/2014/main" pred="{307C695B-AD99-F865-0D16-46D84496F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03475" y="39652575"/>
          <a:ext cx="4572000" cy="2419350"/>
        </a:xfrm>
        <a:prstGeom prst="rect">
          <a:avLst/>
        </a:prstGeom>
      </xdr:spPr>
    </xdr:pic>
    <xdr:clientData/>
  </xdr:twoCellAnchor>
  <xdr:twoCellAnchor>
    <xdr:from>
      <xdr:col>70</xdr:col>
      <xdr:colOff>200025</xdr:colOff>
      <xdr:row>193</xdr:row>
      <xdr:rowOff>28575</xdr:rowOff>
    </xdr:from>
    <xdr:to>
      <xdr:col>76</xdr:col>
      <xdr:colOff>0</xdr:colOff>
      <xdr:row>207</xdr:row>
      <xdr:rowOff>104775</xdr:rowOff>
    </xdr:to>
    <xdr:graphicFrame macro="">
      <xdr:nvGraphicFramePr>
        <xdr:cNvPr id="29" name="Gráfico 28">
          <a:extLst>
            <a:ext uri="{FF2B5EF4-FFF2-40B4-BE49-F238E27FC236}">
              <a16:creationId xmlns:a16="http://schemas.microsoft.com/office/drawing/2014/main" id="{CE5DB504-93DB-035A-72F4-0309D4300C27}"/>
            </a:ext>
            <a:ext uri="{147F2762-F138-4A5C-976F-8EAC2B608ADB}">
              <a16:predDERef xmlns:a16="http://schemas.microsoft.com/office/drawing/2014/main" pred="{42AE5D85-D5F3-4CAD-5D9E-42618DC3E5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85</xdr:col>
      <xdr:colOff>85725</xdr:colOff>
      <xdr:row>211</xdr:row>
      <xdr:rowOff>104775</xdr:rowOff>
    </xdr:from>
    <xdr:to>
      <xdr:col>90</xdr:col>
      <xdr:colOff>66675</xdr:colOff>
      <xdr:row>222</xdr:row>
      <xdr:rowOff>9525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F1ADE919-7814-920F-9D71-2236D7D1126A}"/>
            </a:ext>
            <a:ext uri="{147F2762-F138-4A5C-976F-8EAC2B608ADB}">
              <a16:predDERef xmlns:a16="http://schemas.microsoft.com/office/drawing/2014/main" pred="{CE5DB504-93DB-035A-72F4-0309D4300C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94</xdr:col>
      <xdr:colOff>390525</xdr:colOff>
      <xdr:row>191</xdr:row>
      <xdr:rowOff>76200</xdr:rowOff>
    </xdr:from>
    <xdr:to>
      <xdr:col>102</xdr:col>
      <xdr:colOff>85725</xdr:colOff>
      <xdr:row>205</xdr:row>
      <xdr:rowOff>152400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91D8FC2C-705D-8F00-C5BD-ED7698AC03E9}"/>
            </a:ext>
            <a:ext uri="{147F2762-F138-4A5C-976F-8EAC2B608ADB}">
              <a16:predDERef xmlns:a16="http://schemas.microsoft.com/office/drawing/2014/main" pred="{F1ADE919-7814-920F-9D71-2236D7D1126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109</xdr:col>
      <xdr:colOff>133350</xdr:colOff>
      <xdr:row>212</xdr:row>
      <xdr:rowOff>47625</xdr:rowOff>
    </xdr:from>
    <xdr:to>
      <xdr:col>116</xdr:col>
      <xdr:colOff>209550</xdr:colOff>
      <xdr:row>226</xdr:row>
      <xdr:rowOff>114300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101A54B5-E57B-4975-4396-B598CBAA5359}"/>
            </a:ext>
            <a:ext uri="{147F2762-F138-4A5C-976F-8EAC2B608ADB}">
              <a16:predDERef xmlns:a16="http://schemas.microsoft.com/office/drawing/2014/main" pred="{91D8FC2C-705D-8F00-C5BD-ED7698AC03E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69</xdr:col>
      <xdr:colOff>400050</xdr:colOff>
      <xdr:row>235</xdr:row>
      <xdr:rowOff>133350</xdr:rowOff>
    </xdr:from>
    <xdr:to>
      <xdr:col>75</xdr:col>
      <xdr:colOff>200025</xdr:colOff>
      <xdr:row>250</xdr:row>
      <xdr:rowOff>19050</xdr:rowOff>
    </xdr:to>
    <xdr:graphicFrame macro="">
      <xdr:nvGraphicFramePr>
        <xdr:cNvPr id="33" name="Gráfico 32">
          <a:extLst>
            <a:ext uri="{FF2B5EF4-FFF2-40B4-BE49-F238E27FC236}">
              <a16:creationId xmlns:a16="http://schemas.microsoft.com/office/drawing/2014/main" id="{BAE5EB2C-6570-84C9-B29C-33CB99B66935}"/>
            </a:ext>
            <a:ext uri="{147F2762-F138-4A5C-976F-8EAC2B608ADB}">
              <a16:predDERef xmlns:a16="http://schemas.microsoft.com/office/drawing/2014/main" pred="{101A54B5-E57B-4975-4396-B598CBAA53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82</xdr:col>
      <xdr:colOff>304800</xdr:colOff>
      <xdr:row>234</xdr:row>
      <xdr:rowOff>180975</xdr:rowOff>
    </xdr:from>
    <xdr:to>
      <xdr:col>90</xdr:col>
      <xdr:colOff>0</xdr:colOff>
      <xdr:row>249</xdr:row>
      <xdr:rowOff>66675</xdr:rowOff>
    </xdr:to>
    <xdr:graphicFrame macro="">
      <xdr:nvGraphicFramePr>
        <xdr:cNvPr id="34" name="Gráfico 33">
          <a:extLst>
            <a:ext uri="{FF2B5EF4-FFF2-40B4-BE49-F238E27FC236}">
              <a16:creationId xmlns:a16="http://schemas.microsoft.com/office/drawing/2014/main" id="{72ABC3B6-1661-559A-6C5E-9CCE08CE0DDF}"/>
            </a:ext>
            <a:ext uri="{147F2762-F138-4A5C-976F-8EAC2B608ADB}">
              <a16:predDERef xmlns:a16="http://schemas.microsoft.com/office/drawing/2014/main" pred="{BAE5EB2C-6570-84C9-B29C-33CB99B669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62</xdr:col>
      <xdr:colOff>552450</xdr:colOff>
      <xdr:row>147</xdr:row>
      <xdr:rowOff>47625</xdr:rowOff>
    </xdr:from>
    <xdr:to>
      <xdr:col>70</xdr:col>
      <xdr:colOff>95250</xdr:colOff>
      <xdr:row>161</xdr:row>
      <xdr:rowOff>123825</xdr:rowOff>
    </xdr:to>
    <xdr:graphicFrame macro="">
      <xdr:nvGraphicFramePr>
        <xdr:cNvPr id="43" name="Gráfico 10">
          <a:extLst>
            <a:ext uri="{FF2B5EF4-FFF2-40B4-BE49-F238E27FC236}">
              <a16:creationId xmlns:a16="http://schemas.microsoft.com/office/drawing/2014/main" id="{0F881B57-8303-E5CE-D74F-AC86C5C3A2A2}"/>
            </a:ext>
            <a:ext uri="{147F2762-F138-4A5C-976F-8EAC2B608ADB}">
              <a16:predDERef xmlns:a16="http://schemas.microsoft.com/office/drawing/2014/main" pred="{72ABC3B6-1661-559A-6C5E-9CCE08CE0D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92</xdr:col>
      <xdr:colOff>457200</xdr:colOff>
      <xdr:row>2</xdr:row>
      <xdr:rowOff>28575</xdr:rowOff>
    </xdr:from>
    <xdr:to>
      <xdr:col>102</xdr:col>
      <xdr:colOff>142875</xdr:colOff>
      <xdr:row>18</xdr:row>
      <xdr:rowOff>95250</xdr:rowOff>
    </xdr:to>
    <xdr:graphicFrame macro="">
      <xdr:nvGraphicFramePr>
        <xdr:cNvPr id="49" name="Gráfico 73">
          <a:extLst>
            <a:ext uri="{FF2B5EF4-FFF2-40B4-BE49-F238E27FC236}">
              <a16:creationId xmlns:a16="http://schemas.microsoft.com/office/drawing/2014/main" id="{FFD34DBB-B51D-4705-A0B1-07B8550125B0}"/>
            </a:ext>
            <a:ext uri="{147F2762-F138-4A5C-976F-8EAC2B608ADB}">
              <a16:predDERef xmlns:a16="http://schemas.microsoft.com/office/drawing/2014/main" pred="{0F881B57-8303-E5CE-D74F-AC86C5C3A2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>
    <xdr:from>
      <xdr:col>82</xdr:col>
      <xdr:colOff>485775</xdr:colOff>
      <xdr:row>1</xdr:row>
      <xdr:rowOff>123825</xdr:rowOff>
    </xdr:from>
    <xdr:to>
      <xdr:col>89</xdr:col>
      <xdr:colOff>471715</xdr:colOff>
      <xdr:row>16</xdr:row>
      <xdr:rowOff>81643</xdr:rowOff>
    </xdr:to>
    <xdr:graphicFrame macro="">
      <xdr:nvGraphicFramePr>
        <xdr:cNvPr id="19" name="Chart 49">
          <a:extLst>
            <a:ext uri="{FF2B5EF4-FFF2-40B4-BE49-F238E27FC236}">
              <a16:creationId xmlns:a16="http://schemas.microsoft.com/office/drawing/2014/main" id="{AC1ACC5D-7D08-4C7F-9861-730854D1A1D5}"/>
            </a:ext>
            <a:ext uri="{147F2762-F138-4A5C-976F-8EAC2B608ADB}">
              <a16:predDERef xmlns:a16="http://schemas.microsoft.com/office/drawing/2014/main" pred="{FFD34DBB-B51D-4705-A0B1-07B8550125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5"/>
        </a:graphicData>
      </a:graphic>
    </xdr:graphicFrame>
    <xdr:clientData/>
  </xdr:twoCellAnchor>
  <xdr:twoCellAnchor editAs="oneCell">
    <xdr:from>
      <xdr:col>104</xdr:col>
      <xdr:colOff>352425</xdr:colOff>
      <xdr:row>0</xdr:row>
      <xdr:rowOff>9525</xdr:rowOff>
    </xdr:from>
    <xdr:to>
      <xdr:col>110</xdr:col>
      <xdr:colOff>142875</xdr:colOff>
      <xdr:row>22</xdr:row>
      <xdr:rowOff>56243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574F789-9EC1-4CF5-B0D9-DAD1F7DB8C12}"/>
            </a:ext>
            <a:ext uri="{147F2762-F138-4A5C-976F-8EAC2B608ADB}">
              <a16:predDERef xmlns:a16="http://schemas.microsoft.com/office/drawing/2014/main" pred="{AC1ACC5D-7D08-4C7F-9861-730854D1A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400525" y="9525"/>
          <a:ext cx="3619500" cy="4343400"/>
        </a:xfrm>
        <a:prstGeom prst="rect">
          <a:avLst/>
        </a:prstGeom>
      </xdr:spPr>
    </xdr:pic>
    <xdr:clientData/>
  </xdr:twoCellAnchor>
  <xdr:twoCellAnchor>
    <xdr:from>
      <xdr:col>112</xdr:col>
      <xdr:colOff>19050</xdr:colOff>
      <xdr:row>0</xdr:row>
      <xdr:rowOff>85725</xdr:rowOff>
    </xdr:from>
    <xdr:to>
      <xdr:col>119</xdr:col>
      <xdr:colOff>238125</xdr:colOff>
      <xdr:row>14</xdr:row>
      <xdr:rowOff>47625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1A5281BD-9A07-4A4A-BB18-2A7C9899586B}"/>
            </a:ext>
            <a:ext uri="{147F2762-F138-4A5C-976F-8EAC2B608ADB}">
              <a16:predDERef xmlns:a16="http://schemas.microsoft.com/office/drawing/2014/main" pred="{6574F789-9EC1-4CF5-B0D9-DAD1F7DB8C1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6"/>
        </a:graphicData>
      </a:graphic>
    </xdr:graphicFrame>
    <xdr:clientData/>
  </xdr:twoCellAnchor>
  <xdr:twoCellAnchor>
    <xdr:from>
      <xdr:col>120</xdr:col>
      <xdr:colOff>571500</xdr:colOff>
      <xdr:row>2</xdr:row>
      <xdr:rowOff>123825</xdr:rowOff>
    </xdr:from>
    <xdr:to>
      <xdr:col>127</xdr:col>
      <xdr:colOff>685800</xdr:colOff>
      <xdr:row>16</xdr:row>
      <xdr:rowOff>76200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23B99343-44E1-4688-BDE6-6750AA571F57}"/>
            </a:ext>
            <a:ext uri="{147F2762-F138-4A5C-976F-8EAC2B608ADB}">
              <a16:predDERef xmlns:a16="http://schemas.microsoft.com/office/drawing/2014/main" pred="{1A5281BD-9A07-4A4A-BB18-2A7C989958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7"/>
        </a:graphicData>
      </a:graphic>
    </xdr:graphicFrame>
    <xdr:clientData/>
  </xdr:twoCellAnchor>
  <xdr:twoCellAnchor>
    <xdr:from>
      <xdr:col>32</xdr:col>
      <xdr:colOff>294822</xdr:colOff>
      <xdr:row>51</xdr:row>
      <xdr:rowOff>7257</xdr:rowOff>
    </xdr:from>
    <xdr:to>
      <xdr:col>37</xdr:col>
      <xdr:colOff>149681</xdr:colOff>
      <xdr:row>66</xdr:row>
      <xdr:rowOff>29028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9A06547-E44A-C42E-51F9-BB4223EEB5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8"/>
        </a:graphicData>
      </a:graphic>
    </xdr:graphicFrame>
    <xdr:clientData/>
  </xdr:twoCellAnchor>
  <xdr:twoCellAnchor>
    <xdr:from>
      <xdr:col>40</xdr:col>
      <xdr:colOff>49892</xdr:colOff>
      <xdr:row>63</xdr:row>
      <xdr:rowOff>97971</xdr:rowOff>
    </xdr:from>
    <xdr:to>
      <xdr:col>47</xdr:col>
      <xdr:colOff>58963</xdr:colOff>
      <xdr:row>78</xdr:row>
      <xdr:rowOff>119743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AA1B8BCA-D06E-25FC-EF09-954719F8C7D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317951</xdr:colOff>
      <xdr:row>16</xdr:row>
      <xdr:rowOff>103551</xdr:rowOff>
    </xdr:from>
    <xdr:ext cx="4727385" cy="3621178"/>
    <xdr:pic>
      <xdr:nvPicPr>
        <xdr:cNvPr id="2" name="Picture 5">
          <a:extLst>
            <a:ext uri="{FF2B5EF4-FFF2-40B4-BE49-F238E27FC236}">
              <a16:creationId xmlns:a16="http://schemas.microsoft.com/office/drawing/2014/main" id="{386CA97F-989A-31AA-55CD-6130AC7B4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737" y="3024551"/>
          <a:ext cx="4727385" cy="3621178"/>
        </a:xfrm>
        <a:prstGeom prst="rect">
          <a:avLst/>
        </a:prstGeom>
      </xdr:spPr>
    </xdr:pic>
    <xdr:clientData/>
  </xdr:oneCellAnchor>
  <xdr:twoCellAnchor editAs="oneCell">
    <xdr:from>
      <xdr:col>13</xdr:col>
      <xdr:colOff>285751</xdr:colOff>
      <xdr:row>8</xdr:row>
      <xdr:rowOff>16359</xdr:rowOff>
    </xdr:from>
    <xdr:to>
      <xdr:col>18</xdr:col>
      <xdr:colOff>243418</xdr:colOff>
      <xdr:row>25</xdr:row>
      <xdr:rowOff>49052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75BEB90-075A-C900-7BF3-592C7D9C9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4334" y="1455692"/>
          <a:ext cx="5482167" cy="3230824"/>
        </a:xfrm>
        <a:prstGeom prst="rect">
          <a:avLst/>
        </a:prstGeom>
      </xdr:spPr>
    </xdr:pic>
    <xdr:clientData/>
  </xdr:twoCellAnchor>
  <xdr:twoCellAnchor editAs="oneCell">
    <xdr:from>
      <xdr:col>4</xdr:col>
      <xdr:colOff>1232203</xdr:colOff>
      <xdr:row>48</xdr:row>
      <xdr:rowOff>163286</xdr:rowOff>
    </xdr:from>
    <xdr:to>
      <xdr:col>9</xdr:col>
      <xdr:colOff>1566052</xdr:colOff>
      <xdr:row>67</xdr:row>
      <xdr:rowOff>12196</xdr:rowOff>
    </xdr:to>
    <xdr:pic>
      <xdr:nvPicPr>
        <xdr:cNvPr id="9" name="Picture 6">
          <a:extLst>
            <a:ext uri="{FF2B5EF4-FFF2-40B4-BE49-F238E27FC236}">
              <a16:creationId xmlns:a16="http://schemas.microsoft.com/office/drawing/2014/main" id="{F58A6ACB-0194-9B5A-6EE5-8BB252A4C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85417" y="8926286"/>
          <a:ext cx="8470921" cy="34321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662214</xdr:colOff>
      <xdr:row>9</xdr:row>
      <xdr:rowOff>18143</xdr:rowOff>
    </xdr:from>
    <xdr:to>
      <xdr:col>26</xdr:col>
      <xdr:colOff>65643</xdr:colOff>
      <xdr:row>25</xdr:row>
      <xdr:rowOff>46422</xdr:rowOff>
    </xdr:to>
    <xdr:pic>
      <xdr:nvPicPr>
        <xdr:cNvPr id="10" name="Picture 7">
          <a:extLst>
            <a:ext uri="{FF2B5EF4-FFF2-40B4-BE49-F238E27FC236}">
              <a16:creationId xmlns:a16="http://schemas.microsoft.com/office/drawing/2014/main" id="{4DCF4FB2-1909-5F83-0AC4-0380CB9F2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412857" y="1651000"/>
          <a:ext cx="6394779" cy="3054507"/>
        </a:xfrm>
        <a:prstGeom prst="rect">
          <a:avLst/>
        </a:prstGeom>
      </xdr:spPr>
    </xdr:pic>
    <xdr:clientData/>
  </xdr:twoCellAnchor>
  <xdr:twoCellAnchor>
    <xdr:from>
      <xdr:col>14</xdr:col>
      <xdr:colOff>870858</xdr:colOff>
      <xdr:row>32</xdr:row>
      <xdr:rowOff>172357</xdr:rowOff>
    </xdr:from>
    <xdr:to>
      <xdr:col>20</xdr:col>
      <xdr:colOff>580571</xdr:colOff>
      <xdr:row>36</xdr:row>
      <xdr:rowOff>127000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9B23F3F9-B362-0236-15B8-A72BA02BCE54}"/>
            </a:ext>
          </a:extLst>
        </xdr:cNvPr>
        <xdr:cNvSpPr/>
      </xdr:nvSpPr>
      <xdr:spPr>
        <a:xfrm>
          <a:off x="21771429" y="6268357"/>
          <a:ext cx="7293428" cy="716643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14</xdr:col>
      <xdr:colOff>780143</xdr:colOff>
      <xdr:row>32</xdr:row>
      <xdr:rowOff>127000</xdr:rowOff>
    </xdr:from>
    <xdr:to>
      <xdr:col>14</xdr:col>
      <xdr:colOff>934358</xdr:colOff>
      <xdr:row>33</xdr:row>
      <xdr:rowOff>18143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C86BA7CA-266C-FA8A-1B32-E5D730C91590}"/>
            </a:ext>
          </a:extLst>
        </xdr:cNvPr>
        <xdr:cNvSpPr/>
      </xdr:nvSpPr>
      <xdr:spPr>
        <a:xfrm>
          <a:off x="21680714" y="6223000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14</xdr:col>
      <xdr:colOff>787401</xdr:colOff>
      <xdr:row>34</xdr:row>
      <xdr:rowOff>79828</xdr:rowOff>
    </xdr:from>
    <xdr:to>
      <xdr:col>14</xdr:col>
      <xdr:colOff>941616</xdr:colOff>
      <xdr:row>34</xdr:row>
      <xdr:rowOff>161471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8CC0B604-0AEF-443D-B531-AAAF6F95200F}"/>
            </a:ext>
          </a:extLst>
        </xdr:cNvPr>
        <xdr:cNvSpPr/>
      </xdr:nvSpPr>
      <xdr:spPr>
        <a:xfrm>
          <a:off x="21687972" y="6556828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14</xdr:col>
      <xdr:colOff>789215</xdr:colOff>
      <xdr:row>36</xdr:row>
      <xdr:rowOff>90715</xdr:rowOff>
    </xdr:from>
    <xdr:to>
      <xdr:col>14</xdr:col>
      <xdr:colOff>943430</xdr:colOff>
      <xdr:row>36</xdr:row>
      <xdr:rowOff>172358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F948EE5A-8485-45D5-82EA-9B30B53FD843}"/>
            </a:ext>
          </a:extLst>
        </xdr:cNvPr>
        <xdr:cNvSpPr/>
      </xdr:nvSpPr>
      <xdr:spPr>
        <a:xfrm>
          <a:off x="21689786" y="6948715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14</xdr:col>
      <xdr:colOff>489858</xdr:colOff>
      <xdr:row>32</xdr:row>
      <xdr:rowOff>145143</xdr:rowOff>
    </xdr:from>
    <xdr:to>
      <xdr:col>14</xdr:col>
      <xdr:colOff>489858</xdr:colOff>
      <xdr:row>36</xdr:row>
      <xdr:rowOff>181429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278323D8-C5D3-774C-5308-3F3F5E7F1663}"/>
            </a:ext>
          </a:extLst>
        </xdr:cNvPr>
        <xdr:cNvCxnSpPr/>
      </xdr:nvCxnSpPr>
      <xdr:spPr>
        <a:xfrm>
          <a:off x="21390429" y="6241143"/>
          <a:ext cx="0" cy="79828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1469573</xdr:colOff>
      <xdr:row>33</xdr:row>
      <xdr:rowOff>18143</xdr:rowOff>
    </xdr:from>
    <xdr:to>
      <xdr:col>14</xdr:col>
      <xdr:colOff>381002</xdr:colOff>
      <xdr:row>36</xdr:row>
      <xdr:rowOff>117929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5712734E-C63E-61AB-A896-9355EFC7408E}"/>
            </a:ext>
          </a:extLst>
        </xdr:cNvPr>
        <xdr:cNvSpPr txBox="1"/>
      </xdr:nvSpPr>
      <xdr:spPr>
        <a:xfrm>
          <a:off x="19276787" y="6304643"/>
          <a:ext cx="2004786" cy="67128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PT" sz="1100"/>
            <a:t>2</a:t>
          </a:r>
          <a:r>
            <a:rPr lang="pt-PT" sz="1100" baseline="0"/>
            <a:t> espaçamentos</a:t>
          </a:r>
        </a:p>
        <a:p>
          <a:pPr algn="ctr"/>
          <a:endParaRPr lang="pt-PT" sz="1100" baseline="0"/>
        </a:p>
        <a:p>
          <a:pPr algn="ctr"/>
          <a:r>
            <a:rPr lang="pt-PT" sz="1100" baseline="0"/>
            <a:t>2* (1,5*44) = 132m</a:t>
          </a:r>
        </a:p>
        <a:p>
          <a:pPr algn="ctr"/>
          <a:endParaRPr lang="pt-PT" sz="1100"/>
        </a:p>
      </xdr:txBody>
    </xdr:sp>
    <xdr:clientData/>
  </xdr:twoCellAnchor>
  <xdr:twoCellAnchor>
    <xdr:from>
      <xdr:col>14</xdr:col>
      <xdr:colOff>878116</xdr:colOff>
      <xdr:row>32</xdr:row>
      <xdr:rowOff>25400</xdr:rowOff>
    </xdr:from>
    <xdr:to>
      <xdr:col>20</xdr:col>
      <xdr:colOff>553358</xdr:colOff>
      <xdr:row>32</xdr:row>
      <xdr:rowOff>36285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E60FCCF6-C259-44F8-8291-B6DCD6C71851}"/>
            </a:ext>
          </a:extLst>
        </xdr:cNvPr>
        <xdr:cNvCxnSpPr/>
      </xdr:nvCxnSpPr>
      <xdr:spPr>
        <a:xfrm>
          <a:off x="21778687" y="6121400"/>
          <a:ext cx="7258957" cy="1088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1005116</xdr:colOff>
      <xdr:row>28</xdr:row>
      <xdr:rowOff>7257</xdr:rowOff>
    </xdr:from>
    <xdr:to>
      <xdr:col>18</xdr:col>
      <xdr:colOff>1086759</xdr:colOff>
      <xdr:row>31</xdr:row>
      <xdr:rowOff>107043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E2885FCC-1C8A-4C01-ABA9-B3A9A52029FA}"/>
            </a:ext>
          </a:extLst>
        </xdr:cNvPr>
        <xdr:cNvSpPr txBox="1"/>
      </xdr:nvSpPr>
      <xdr:spPr>
        <a:xfrm>
          <a:off x="24073759" y="5341257"/>
          <a:ext cx="2004786" cy="67128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PT" sz="1100" baseline="0"/>
            <a:t>60 espaçamentos</a:t>
          </a:r>
        </a:p>
        <a:p>
          <a:pPr algn="ctr"/>
          <a:endParaRPr lang="pt-PT" sz="1100" baseline="0"/>
        </a:p>
        <a:p>
          <a:pPr algn="ctr"/>
          <a:r>
            <a:rPr lang="pt-PT" sz="1100" baseline="0"/>
            <a:t>60* (8*44) = 21 120m</a:t>
          </a:r>
        </a:p>
        <a:p>
          <a:pPr algn="ctr"/>
          <a:endParaRPr lang="pt-PT" sz="1100"/>
        </a:p>
      </xdr:txBody>
    </xdr:sp>
    <xdr:clientData/>
  </xdr:twoCellAnchor>
  <xdr:twoCellAnchor>
    <xdr:from>
      <xdr:col>41</xdr:col>
      <xdr:colOff>638175</xdr:colOff>
      <xdr:row>58</xdr:row>
      <xdr:rowOff>161924</xdr:rowOff>
    </xdr:from>
    <xdr:to>
      <xdr:col>49</xdr:col>
      <xdr:colOff>137583</xdr:colOff>
      <xdr:row>75</xdr:row>
      <xdr:rowOff>179915</xdr:rowOff>
    </xdr:to>
    <xdr:graphicFrame macro="">
      <xdr:nvGraphicFramePr>
        <xdr:cNvPr id="88" name="Gráfico 8">
          <a:extLst>
            <a:ext uri="{FF2B5EF4-FFF2-40B4-BE49-F238E27FC236}">
              <a16:creationId xmlns:a16="http://schemas.microsoft.com/office/drawing/2014/main" id="{9F9C7B51-AAB5-61BD-7F16-33972246CA4F}"/>
            </a:ext>
            <a:ext uri="{147F2762-F138-4A5C-976F-8EAC2B608ADB}">
              <a16:predDERef xmlns:a16="http://schemas.microsoft.com/office/drawing/2014/main" pred="{E2885FCC-1C8A-4C01-ABA9-B3A9A52029F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42</xdr:col>
      <xdr:colOff>28575</xdr:colOff>
      <xdr:row>101</xdr:row>
      <xdr:rowOff>38099</xdr:rowOff>
    </xdr:from>
    <xdr:to>
      <xdr:col>49</xdr:col>
      <xdr:colOff>190500</xdr:colOff>
      <xdr:row>117</xdr:row>
      <xdr:rowOff>63500</xdr:rowOff>
    </xdr:to>
    <xdr:graphicFrame macro="">
      <xdr:nvGraphicFramePr>
        <xdr:cNvPr id="117" name="Gráfico 13">
          <a:extLst>
            <a:ext uri="{FF2B5EF4-FFF2-40B4-BE49-F238E27FC236}">
              <a16:creationId xmlns:a16="http://schemas.microsoft.com/office/drawing/2014/main" id="{BA34FBB4-0AF0-B458-A2EB-809FF149C4AB}"/>
            </a:ext>
            <a:ext uri="{147F2762-F138-4A5C-976F-8EAC2B608ADB}">
              <a16:predDERef xmlns:a16="http://schemas.microsoft.com/office/drawing/2014/main" pred="{9F9C7B51-AAB5-61BD-7F16-33972246CA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53</xdr:col>
      <xdr:colOff>323850</xdr:colOff>
      <xdr:row>100</xdr:row>
      <xdr:rowOff>133350</xdr:rowOff>
    </xdr:from>
    <xdr:to>
      <xdr:col>61</xdr:col>
      <xdr:colOff>19050</xdr:colOff>
      <xdr:row>115</xdr:row>
      <xdr:rowOff>19050</xdr:rowOff>
    </xdr:to>
    <xdr:graphicFrame macro="">
      <xdr:nvGraphicFramePr>
        <xdr:cNvPr id="127" name="Gráfico 15">
          <a:extLst>
            <a:ext uri="{FF2B5EF4-FFF2-40B4-BE49-F238E27FC236}">
              <a16:creationId xmlns:a16="http://schemas.microsoft.com/office/drawing/2014/main" id="{0D5D9E14-7372-CF72-2803-66D7B9F08500}"/>
            </a:ext>
            <a:ext uri="{147F2762-F138-4A5C-976F-8EAC2B608ADB}">
              <a16:predDERef xmlns:a16="http://schemas.microsoft.com/office/drawing/2014/main" pred="{BA34FBB4-0AF0-B458-A2EB-809FF149C4A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 editAs="oneCell">
    <xdr:from>
      <xdr:col>10</xdr:col>
      <xdr:colOff>163285</xdr:colOff>
      <xdr:row>57</xdr:row>
      <xdr:rowOff>99786</xdr:rowOff>
    </xdr:from>
    <xdr:to>
      <xdr:col>12</xdr:col>
      <xdr:colOff>390233</xdr:colOff>
      <xdr:row>68</xdr:row>
      <xdr:rowOff>42741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72BE5A7-00DF-9B95-89BF-8BA47A063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85356" y="10541000"/>
          <a:ext cx="3175163" cy="20384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61</xdr:col>
      <xdr:colOff>495300</xdr:colOff>
      <xdr:row>0</xdr:row>
      <xdr:rowOff>9525</xdr:rowOff>
    </xdr:from>
    <xdr:to>
      <xdr:col>69</xdr:col>
      <xdr:colOff>190500</xdr:colOff>
      <xdr:row>14</xdr:row>
      <xdr:rowOff>95250</xdr:rowOff>
    </xdr:to>
    <xdr:graphicFrame macro="">
      <xdr:nvGraphicFramePr>
        <xdr:cNvPr id="33" name="Gráfico 1">
          <a:extLst>
            <a:ext uri="{FF2B5EF4-FFF2-40B4-BE49-F238E27FC236}">
              <a16:creationId xmlns:a16="http://schemas.microsoft.com/office/drawing/2014/main" id="{B9747772-00D4-7AAA-319E-DB08791B9D6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61</xdr:col>
      <xdr:colOff>400050</xdr:colOff>
      <xdr:row>15</xdr:row>
      <xdr:rowOff>142875</xdr:rowOff>
    </xdr:from>
    <xdr:to>
      <xdr:col>69</xdr:col>
      <xdr:colOff>95250</xdr:colOff>
      <xdr:row>30</xdr:row>
      <xdr:rowOff>85725</xdr:rowOff>
    </xdr:to>
    <xdr:graphicFrame macro="">
      <xdr:nvGraphicFramePr>
        <xdr:cNvPr id="40" name="Gráfico 2">
          <a:extLst>
            <a:ext uri="{FF2B5EF4-FFF2-40B4-BE49-F238E27FC236}">
              <a16:creationId xmlns:a16="http://schemas.microsoft.com/office/drawing/2014/main" id="{1BA87D68-E8A5-652F-A829-C1BE240C031B}"/>
            </a:ext>
            <a:ext uri="{147F2762-F138-4A5C-976F-8EAC2B608ADB}">
              <a16:predDERef xmlns:a16="http://schemas.microsoft.com/office/drawing/2014/main" pred="{B9747772-00D4-7AAA-319E-DB08791B9D6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82</xdr:col>
      <xdr:colOff>394153</xdr:colOff>
      <xdr:row>0</xdr:row>
      <xdr:rowOff>32657</xdr:rowOff>
    </xdr:from>
    <xdr:to>
      <xdr:col>87</xdr:col>
      <xdr:colOff>366032</xdr:colOff>
      <xdr:row>24</xdr:row>
      <xdr:rowOff>21771</xdr:rowOff>
    </xdr:to>
    <xdr:pic>
      <xdr:nvPicPr>
        <xdr:cNvPr id="93" name="Imagem 3">
          <a:extLst>
            <a:ext uri="{FF2B5EF4-FFF2-40B4-BE49-F238E27FC236}">
              <a16:creationId xmlns:a16="http://schemas.microsoft.com/office/drawing/2014/main" id="{8887C308-9632-958E-34B3-894E24BEAD87}"/>
            </a:ext>
            <a:ext uri="{147F2762-F138-4A5C-976F-8EAC2B608ADB}">
              <a16:predDERef xmlns:a16="http://schemas.microsoft.com/office/drawing/2014/main" pred="{1BA87D68-E8A5-652F-A829-C1BE240C0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8596439" y="32657"/>
          <a:ext cx="3019879" cy="4503964"/>
        </a:xfrm>
        <a:prstGeom prst="rect">
          <a:avLst/>
        </a:prstGeom>
      </xdr:spPr>
    </xdr:pic>
    <xdr:clientData/>
  </xdr:twoCellAnchor>
  <xdr:twoCellAnchor editAs="oneCell">
    <xdr:from>
      <xdr:col>88</xdr:col>
      <xdr:colOff>324758</xdr:colOff>
      <xdr:row>0</xdr:row>
      <xdr:rowOff>68943</xdr:rowOff>
    </xdr:from>
    <xdr:to>
      <xdr:col>93</xdr:col>
      <xdr:colOff>270482</xdr:colOff>
      <xdr:row>23</xdr:row>
      <xdr:rowOff>23357</xdr:rowOff>
    </xdr:to>
    <xdr:pic>
      <xdr:nvPicPr>
        <xdr:cNvPr id="9" name="Picture 6">
          <a:extLst>
            <a:ext uri="{FF2B5EF4-FFF2-40B4-BE49-F238E27FC236}">
              <a16:creationId xmlns:a16="http://schemas.microsoft.com/office/drawing/2014/main" id="{389E0185-6043-FAA3-CF22-FAC97CAE2578}"/>
            </a:ext>
            <a:ext uri="{147F2762-F138-4A5C-976F-8EAC2B608ADB}">
              <a16:predDERef xmlns:a16="http://schemas.microsoft.com/office/drawing/2014/main" pred="{8887C308-9632-958E-34B3-894E24BEAD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094133" y="68943"/>
          <a:ext cx="2993724" cy="4364489"/>
        </a:xfrm>
        <a:prstGeom prst="rect">
          <a:avLst/>
        </a:prstGeom>
      </xdr:spPr>
    </xdr:pic>
    <xdr:clientData/>
  </xdr:twoCellAnchor>
  <xdr:twoCellAnchor>
    <xdr:from>
      <xdr:col>69</xdr:col>
      <xdr:colOff>333375</xdr:colOff>
      <xdr:row>60</xdr:row>
      <xdr:rowOff>19050</xdr:rowOff>
    </xdr:from>
    <xdr:to>
      <xdr:col>77</xdr:col>
      <xdr:colOff>28575</xdr:colOff>
      <xdr:row>75</xdr:row>
      <xdr:rowOff>47625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4F81E8C7-4C07-E4F9-A4BA-0B9FBF4B28C9}"/>
            </a:ext>
            <a:ext uri="{147F2762-F138-4A5C-976F-8EAC2B608ADB}">
              <a16:predDERef xmlns:a16="http://schemas.microsoft.com/office/drawing/2014/main" pred="{389E0185-6043-FAA3-CF22-FAC97CAE25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90</xdr:col>
      <xdr:colOff>361950</xdr:colOff>
      <xdr:row>60</xdr:row>
      <xdr:rowOff>38100</xdr:rowOff>
    </xdr:from>
    <xdr:to>
      <xdr:col>98</xdr:col>
      <xdr:colOff>57150</xdr:colOff>
      <xdr:row>75</xdr:row>
      <xdr:rowOff>66675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F1CF1E0E-4D9F-A26D-42AF-86AA9908AC42}"/>
            </a:ext>
            <a:ext uri="{147F2762-F138-4A5C-976F-8EAC2B608ADB}">
              <a16:predDERef xmlns:a16="http://schemas.microsoft.com/office/drawing/2014/main" pred="{4F81E8C7-4C07-E4F9-A4BA-0B9FBF4B28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106</xdr:col>
      <xdr:colOff>590550</xdr:colOff>
      <xdr:row>60</xdr:row>
      <xdr:rowOff>38100</xdr:rowOff>
    </xdr:from>
    <xdr:to>
      <xdr:col>114</xdr:col>
      <xdr:colOff>285750</xdr:colOff>
      <xdr:row>75</xdr:row>
      <xdr:rowOff>66675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C5F5888F-BC84-43C3-F2AF-B3F4E5E77512}"/>
            </a:ext>
            <a:ext uri="{147F2762-F138-4A5C-976F-8EAC2B608ADB}">
              <a16:predDERef xmlns:a16="http://schemas.microsoft.com/office/drawing/2014/main" pred="{F1CF1E0E-4D9F-A26D-42AF-86AA9908AC4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122</xdr:col>
      <xdr:colOff>447675</xdr:colOff>
      <xdr:row>61</xdr:row>
      <xdr:rowOff>161925</xdr:rowOff>
    </xdr:from>
    <xdr:to>
      <xdr:col>130</xdr:col>
      <xdr:colOff>142875</xdr:colOff>
      <xdr:row>77</xdr:row>
      <xdr:rowOff>9525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3A8D8B42-2C66-2D3B-54E6-A73B115C2DAA}"/>
            </a:ext>
            <a:ext uri="{147F2762-F138-4A5C-976F-8EAC2B608ADB}">
              <a16:predDERef xmlns:a16="http://schemas.microsoft.com/office/drawing/2014/main" pred="{C5F5888F-BC84-43C3-F2AF-B3F4E5E7751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69</xdr:col>
      <xdr:colOff>285750</xdr:colOff>
      <xdr:row>115</xdr:row>
      <xdr:rowOff>28575</xdr:rowOff>
    </xdr:from>
    <xdr:to>
      <xdr:col>76</xdr:col>
      <xdr:colOff>590550</xdr:colOff>
      <xdr:row>130</xdr:row>
      <xdr:rowOff>57150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8E305CFC-27CD-DBA2-BBC7-3778AE685AFC}"/>
            </a:ext>
            <a:ext uri="{147F2762-F138-4A5C-976F-8EAC2B608ADB}">
              <a16:predDERef xmlns:a16="http://schemas.microsoft.com/office/drawing/2014/main" pred="{3A8D8B42-2C66-2D3B-54E6-A73B115C2DA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89</xdr:col>
      <xdr:colOff>342900</xdr:colOff>
      <xdr:row>115</xdr:row>
      <xdr:rowOff>66675</xdr:rowOff>
    </xdr:from>
    <xdr:to>
      <xdr:col>97</xdr:col>
      <xdr:colOff>38100</xdr:colOff>
      <xdr:row>130</xdr:row>
      <xdr:rowOff>95250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5CAD6FA9-2D32-D09E-07B2-52C00F188F37}"/>
            </a:ext>
            <a:ext uri="{147F2762-F138-4A5C-976F-8EAC2B608ADB}">
              <a16:predDERef xmlns:a16="http://schemas.microsoft.com/office/drawing/2014/main" pred="{8E305CFC-27CD-DBA2-BBC7-3778AE685A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105</xdr:col>
      <xdr:colOff>323850</xdr:colOff>
      <xdr:row>115</xdr:row>
      <xdr:rowOff>19050</xdr:rowOff>
    </xdr:from>
    <xdr:to>
      <xdr:col>113</xdr:col>
      <xdr:colOff>19050</xdr:colOff>
      <xdr:row>130</xdr:row>
      <xdr:rowOff>47625</xdr:rowOff>
    </xdr:to>
    <xdr:graphicFrame macro="">
      <xdr:nvGraphicFramePr>
        <xdr:cNvPr id="13" name="Gráfico 12">
          <a:extLst>
            <a:ext uri="{FF2B5EF4-FFF2-40B4-BE49-F238E27FC236}">
              <a16:creationId xmlns:a16="http://schemas.microsoft.com/office/drawing/2014/main" id="{7F09246E-C0EB-2E7F-8F1E-169352665C32}"/>
            </a:ext>
            <a:ext uri="{147F2762-F138-4A5C-976F-8EAC2B608ADB}">
              <a16:predDERef xmlns:a16="http://schemas.microsoft.com/office/drawing/2014/main" pred="{5CAD6FA9-2D32-D09E-07B2-52C00F188F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121</xdr:col>
      <xdr:colOff>114300</xdr:colOff>
      <xdr:row>115</xdr:row>
      <xdr:rowOff>76200</xdr:rowOff>
    </xdr:from>
    <xdr:to>
      <xdr:col>128</xdr:col>
      <xdr:colOff>419100</xdr:colOff>
      <xdr:row>130</xdr:row>
      <xdr:rowOff>104775</xdr:rowOff>
    </xdr:to>
    <xdr:graphicFrame macro="">
      <xdr:nvGraphicFramePr>
        <xdr:cNvPr id="14" name="Gráfico 13">
          <a:extLst>
            <a:ext uri="{FF2B5EF4-FFF2-40B4-BE49-F238E27FC236}">
              <a16:creationId xmlns:a16="http://schemas.microsoft.com/office/drawing/2014/main" id="{8E8CD988-F4D3-19A8-4462-7D32540033BB}"/>
            </a:ext>
            <a:ext uri="{147F2762-F138-4A5C-976F-8EAC2B608ADB}">
              <a16:predDERef xmlns:a16="http://schemas.microsoft.com/office/drawing/2014/main" pred="{7F09246E-C0EB-2E7F-8F1E-169352665C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69</xdr:col>
      <xdr:colOff>409575</xdr:colOff>
      <xdr:row>178</xdr:row>
      <xdr:rowOff>19050</xdr:rowOff>
    </xdr:from>
    <xdr:to>
      <xdr:col>77</xdr:col>
      <xdr:colOff>104775</xdr:colOff>
      <xdr:row>193</xdr:row>
      <xdr:rowOff>28575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A31F5A74-7662-BFB5-7A58-8B068E627646}"/>
            </a:ext>
            <a:ext uri="{147F2762-F138-4A5C-976F-8EAC2B608ADB}">
              <a16:predDERef xmlns:a16="http://schemas.microsoft.com/office/drawing/2014/main" pred="{8E8CD988-F4D3-19A8-4462-7D32540033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90</xdr:col>
      <xdr:colOff>542925</xdr:colOff>
      <xdr:row>178</xdr:row>
      <xdr:rowOff>123825</xdr:rowOff>
    </xdr:from>
    <xdr:to>
      <xdr:col>98</xdr:col>
      <xdr:colOff>238125</xdr:colOff>
      <xdr:row>193</xdr:row>
      <xdr:rowOff>133350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0E6F644C-DBA9-7653-8459-4F45E7C89E98}"/>
            </a:ext>
            <a:ext uri="{147F2762-F138-4A5C-976F-8EAC2B608ADB}">
              <a16:predDERef xmlns:a16="http://schemas.microsoft.com/office/drawing/2014/main" pred="{A31F5A74-7662-BFB5-7A58-8B068E6276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107</xdr:col>
      <xdr:colOff>276225</xdr:colOff>
      <xdr:row>178</xdr:row>
      <xdr:rowOff>19050</xdr:rowOff>
    </xdr:from>
    <xdr:to>
      <xdr:col>114</xdr:col>
      <xdr:colOff>581025</xdr:colOff>
      <xdr:row>193</xdr:row>
      <xdr:rowOff>28575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B59434EF-C233-4019-2B7E-9C2322ECF253}"/>
            </a:ext>
            <a:ext uri="{147F2762-F138-4A5C-976F-8EAC2B608ADB}">
              <a16:predDERef xmlns:a16="http://schemas.microsoft.com/office/drawing/2014/main" pred="{0E6F644C-DBA9-7653-8459-4F45E7C89E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121</xdr:col>
      <xdr:colOff>533400</xdr:colOff>
      <xdr:row>178</xdr:row>
      <xdr:rowOff>114300</xdr:rowOff>
    </xdr:from>
    <xdr:to>
      <xdr:col>129</xdr:col>
      <xdr:colOff>228600</xdr:colOff>
      <xdr:row>193</xdr:row>
      <xdr:rowOff>123825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252DAEFC-0200-2B63-6791-3B9E8C3A5B9D}"/>
            </a:ext>
            <a:ext uri="{147F2762-F138-4A5C-976F-8EAC2B608ADB}">
              <a16:predDERef xmlns:a16="http://schemas.microsoft.com/office/drawing/2014/main" pred="{B59434EF-C233-4019-2B7E-9C2322ECF2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61</xdr:col>
      <xdr:colOff>466725</xdr:colOff>
      <xdr:row>59</xdr:row>
      <xdr:rowOff>123825</xdr:rowOff>
    </xdr:from>
    <xdr:to>
      <xdr:col>69</xdr:col>
      <xdr:colOff>161925</xdr:colOff>
      <xdr:row>74</xdr:row>
      <xdr:rowOff>152400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D007F4E4-4629-F9EB-1616-78E386BCDC8B}"/>
            </a:ext>
            <a:ext uri="{147F2762-F138-4A5C-976F-8EAC2B608ADB}">
              <a16:predDERef xmlns:a16="http://schemas.microsoft.com/office/drawing/2014/main" pred="{252DAEFC-0200-2B63-6791-3B9E8C3A5B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83</xdr:col>
      <xdr:colOff>85725</xdr:colOff>
      <xdr:row>60</xdr:row>
      <xdr:rowOff>38100</xdr:rowOff>
    </xdr:from>
    <xdr:to>
      <xdr:col>90</xdr:col>
      <xdr:colOff>390525</xdr:colOff>
      <xdr:row>75</xdr:row>
      <xdr:rowOff>66675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C577D79E-042B-4133-8F2B-E28F6D2AA076}"/>
            </a:ext>
            <a:ext uri="{147F2762-F138-4A5C-976F-8EAC2B608ADB}">
              <a16:predDERef xmlns:a16="http://schemas.microsoft.com/office/drawing/2014/main" pred="{D007F4E4-4629-F9EB-1616-78E386BCDC8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99</xdr:col>
      <xdr:colOff>314325</xdr:colOff>
      <xdr:row>60</xdr:row>
      <xdr:rowOff>38100</xdr:rowOff>
    </xdr:from>
    <xdr:to>
      <xdr:col>107</xdr:col>
      <xdr:colOff>9525</xdr:colOff>
      <xdr:row>75</xdr:row>
      <xdr:rowOff>66675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DACBBEB1-8E43-71B6-A422-026FF45A1A32}"/>
            </a:ext>
            <a:ext uri="{147F2762-F138-4A5C-976F-8EAC2B608ADB}">
              <a16:predDERef xmlns:a16="http://schemas.microsoft.com/office/drawing/2014/main" pred="{C577D79E-042B-4133-8F2B-E28F6D2AA07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114</xdr:col>
      <xdr:colOff>428625</xdr:colOff>
      <xdr:row>60</xdr:row>
      <xdr:rowOff>161925</xdr:rowOff>
    </xdr:from>
    <xdr:to>
      <xdr:col>122</xdr:col>
      <xdr:colOff>123825</xdr:colOff>
      <xdr:row>76</xdr:row>
      <xdr:rowOff>9525</xdr:rowOff>
    </xdr:to>
    <xdr:graphicFrame macro="">
      <xdr:nvGraphicFramePr>
        <xdr:cNvPr id="22" name="Gráfico 21">
          <a:extLst>
            <a:ext uri="{FF2B5EF4-FFF2-40B4-BE49-F238E27FC236}">
              <a16:creationId xmlns:a16="http://schemas.microsoft.com/office/drawing/2014/main" id="{AA70F6D4-287A-A99E-E657-47C56A0A7E43}"/>
            </a:ext>
            <a:ext uri="{147F2762-F138-4A5C-976F-8EAC2B608ADB}">
              <a16:predDERef xmlns:a16="http://schemas.microsoft.com/office/drawing/2014/main" pred="{DACBBEB1-8E43-71B6-A422-026FF45A1A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62</xdr:col>
      <xdr:colOff>19050</xdr:colOff>
      <xdr:row>115</xdr:row>
      <xdr:rowOff>28575</xdr:rowOff>
    </xdr:from>
    <xdr:to>
      <xdr:col>69</xdr:col>
      <xdr:colOff>323850</xdr:colOff>
      <xdr:row>130</xdr:row>
      <xdr:rowOff>57150</xdr:rowOff>
    </xdr:to>
    <xdr:graphicFrame macro="">
      <xdr:nvGraphicFramePr>
        <xdr:cNvPr id="23" name="Gráfico 22">
          <a:extLst>
            <a:ext uri="{FF2B5EF4-FFF2-40B4-BE49-F238E27FC236}">
              <a16:creationId xmlns:a16="http://schemas.microsoft.com/office/drawing/2014/main" id="{887F229B-4F07-2793-3553-74CC25642F49}"/>
            </a:ext>
            <a:ext uri="{147F2762-F138-4A5C-976F-8EAC2B608ADB}">
              <a16:predDERef xmlns:a16="http://schemas.microsoft.com/office/drawing/2014/main" pred="{AA70F6D4-287A-A99E-E657-47C56A0A7E4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82</xdr:col>
      <xdr:colOff>9525</xdr:colOff>
      <xdr:row>115</xdr:row>
      <xdr:rowOff>47625</xdr:rowOff>
    </xdr:from>
    <xdr:to>
      <xdr:col>89</xdr:col>
      <xdr:colOff>314325</xdr:colOff>
      <xdr:row>130</xdr:row>
      <xdr:rowOff>76200</xdr:rowOff>
    </xdr:to>
    <xdr:graphicFrame macro="">
      <xdr:nvGraphicFramePr>
        <xdr:cNvPr id="24" name="Gráfico 23">
          <a:extLst>
            <a:ext uri="{FF2B5EF4-FFF2-40B4-BE49-F238E27FC236}">
              <a16:creationId xmlns:a16="http://schemas.microsoft.com/office/drawing/2014/main" id="{49B3A071-CE5D-AA35-7960-27C1223CD805}"/>
            </a:ext>
            <a:ext uri="{147F2762-F138-4A5C-976F-8EAC2B608ADB}">
              <a16:predDERef xmlns:a16="http://schemas.microsoft.com/office/drawing/2014/main" pred="{887F229B-4F07-2793-3553-74CC25642F4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96</xdr:col>
      <xdr:colOff>276225</xdr:colOff>
      <xdr:row>114</xdr:row>
      <xdr:rowOff>171450</xdr:rowOff>
    </xdr:from>
    <xdr:to>
      <xdr:col>103</xdr:col>
      <xdr:colOff>581025</xdr:colOff>
      <xdr:row>130</xdr:row>
      <xdr:rowOff>19050</xdr:rowOff>
    </xdr:to>
    <xdr:graphicFrame macro="">
      <xdr:nvGraphicFramePr>
        <xdr:cNvPr id="25" name="Gráfico 24">
          <a:extLst>
            <a:ext uri="{FF2B5EF4-FFF2-40B4-BE49-F238E27FC236}">
              <a16:creationId xmlns:a16="http://schemas.microsoft.com/office/drawing/2014/main" id="{4FCC90B5-8CF1-8C58-3F88-441A3051A6A5}"/>
            </a:ext>
            <a:ext uri="{147F2762-F138-4A5C-976F-8EAC2B608ADB}">
              <a16:predDERef xmlns:a16="http://schemas.microsoft.com/office/drawing/2014/main" pred="{49B3A071-CE5D-AA35-7960-27C1223CD8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113</xdr:col>
      <xdr:colOff>381000</xdr:colOff>
      <xdr:row>115</xdr:row>
      <xdr:rowOff>19050</xdr:rowOff>
    </xdr:from>
    <xdr:to>
      <xdr:col>121</xdr:col>
      <xdr:colOff>76200</xdr:colOff>
      <xdr:row>130</xdr:row>
      <xdr:rowOff>47625</xdr:rowOff>
    </xdr:to>
    <xdr:graphicFrame macro="">
      <xdr:nvGraphicFramePr>
        <xdr:cNvPr id="26" name="Gráfico 25">
          <a:extLst>
            <a:ext uri="{FF2B5EF4-FFF2-40B4-BE49-F238E27FC236}">
              <a16:creationId xmlns:a16="http://schemas.microsoft.com/office/drawing/2014/main" id="{34DB5E52-58D0-1BC2-02D3-D4A718758888}"/>
            </a:ext>
            <a:ext uri="{147F2762-F138-4A5C-976F-8EAC2B608ADB}">
              <a16:predDERef xmlns:a16="http://schemas.microsoft.com/office/drawing/2014/main" pred="{4FCC90B5-8CF1-8C58-3F88-441A3051A6A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62</xdr:col>
      <xdr:colOff>123825</xdr:colOff>
      <xdr:row>178</xdr:row>
      <xdr:rowOff>28575</xdr:rowOff>
    </xdr:from>
    <xdr:to>
      <xdr:col>69</xdr:col>
      <xdr:colOff>428625</xdr:colOff>
      <xdr:row>193</xdr:row>
      <xdr:rowOff>38100</xdr:rowOff>
    </xdr:to>
    <xdr:graphicFrame macro="">
      <xdr:nvGraphicFramePr>
        <xdr:cNvPr id="27" name="Gráfico 26">
          <a:extLst>
            <a:ext uri="{FF2B5EF4-FFF2-40B4-BE49-F238E27FC236}">
              <a16:creationId xmlns:a16="http://schemas.microsoft.com/office/drawing/2014/main" id="{43A0F21F-58F5-A021-BE72-1A72625E2B75}"/>
            </a:ext>
            <a:ext uri="{147F2762-F138-4A5C-976F-8EAC2B608ADB}">
              <a16:predDERef xmlns:a16="http://schemas.microsoft.com/office/drawing/2014/main" pred="{34DB5E52-58D0-1BC2-02D3-D4A7187588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83</xdr:col>
      <xdr:colOff>228600</xdr:colOff>
      <xdr:row>178</xdr:row>
      <xdr:rowOff>104775</xdr:rowOff>
    </xdr:from>
    <xdr:to>
      <xdr:col>90</xdr:col>
      <xdr:colOff>533400</xdr:colOff>
      <xdr:row>193</xdr:row>
      <xdr:rowOff>114300</xdr:rowOff>
    </xdr:to>
    <xdr:graphicFrame macro="">
      <xdr:nvGraphicFramePr>
        <xdr:cNvPr id="28" name="Gráfico 27">
          <a:extLst>
            <a:ext uri="{FF2B5EF4-FFF2-40B4-BE49-F238E27FC236}">
              <a16:creationId xmlns:a16="http://schemas.microsoft.com/office/drawing/2014/main" id="{DF236614-620F-0843-064E-51C602FEB69D}"/>
            </a:ext>
            <a:ext uri="{147F2762-F138-4A5C-976F-8EAC2B608ADB}">
              <a16:predDERef xmlns:a16="http://schemas.microsoft.com/office/drawing/2014/main" pred="{43A0F21F-58F5-A021-BE72-1A72625E2B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100</xdr:col>
      <xdr:colOff>9525</xdr:colOff>
      <xdr:row>177</xdr:row>
      <xdr:rowOff>161925</xdr:rowOff>
    </xdr:from>
    <xdr:to>
      <xdr:col>107</xdr:col>
      <xdr:colOff>314325</xdr:colOff>
      <xdr:row>192</xdr:row>
      <xdr:rowOff>171450</xdr:rowOff>
    </xdr:to>
    <xdr:graphicFrame macro="">
      <xdr:nvGraphicFramePr>
        <xdr:cNvPr id="29" name="Gráfico 28">
          <a:extLst>
            <a:ext uri="{FF2B5EF4-FFF2-40B4-BE49-F238E27FC236}">
              <a16:creationId xmlns:a16="http://schemas.microsoft.com/office/drawing/2014/main" id="{C9E62BAB-B7DA-D6E0-AAEC-06071A57E9DB}"/>
            </a:ext>
            <a:ext uri="{147F2762-F138-4A5C-976F-8EAC2B608ADB}">
              <a16:predDERef xmlns:a16="http://schemas.microsoft.com/office/drawing/2014/main" pred="{DF236614-620F-0843-064E-51C602FEB6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114</xdr:col>
      <xdr:colOff>457200</xdr:colOff>
      <xdr:row>178</xdr:row>
      <xdr:rowOff>0</xdr:rowOff>
    </xdr:from>
    <xdr:to>
      <xdr:col>122</xdr:col>
      <xdr:colOff>152400</xdr:colOff>
      <xdr:row>193</xdr:row>
      <xdr:rowOff>9525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8BE73C1F-5B8B-8ED8-8551-6BD5F6B87C72}"/>
            </a:ext>
            <a:ext uri="{147F2762-F138-4A5C-976F-8EAC2B608ADB}">
              <a16:predDERef xmlns:a16="http://schemas.microsoft.com/office/drawing/2014/main" pred="{C9E62BAB-B7DA-D6E0-AAEC-06071A57E9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62</xdr:col>
      <xdr:colOff>261711</xdr:colOff>
      <xdr:row>31</xdr:row>
      <xdr:rowOff>86632</xdr:rowOff>
    </xdr:from>
    <xdr:to>
      <xdr:col>70</xdr:col>
      <xdr:colOff>247650</xdr:colOff>
      <xdr:row>46</xdr:row>
      <xdr:rowOff>32657</xdr:rowOff>
    </xdr:to>
    <xdr:graphicFrame macro="">
      <xdr:nvGraphicFramePr>
        <xdr:cNvPr id="96" name="Gráfico 7">
          <a:extLst>
            <a:ext uri="{FF2B5EF4-FFF2-40B4-BE49-F238E27FC236}">
              <a16:creationId xmlns:a16="http://schemas.microsoft.com/office/drawing/2014/main" id="{FEE0EA79-A731-CDDA-48B0-AF1DEAC93A78}"/>
            </a:ext>
            <a:ext uri="{147F2762-F138-4A5C-976F-8EAC2B608ADB}">
              <a16:predDERef xmlns:a16="http://schemas.microsoft.com/office/drawing/2014/main" pred="{8BE73C1F-5B8B-8ED8-8551-6BD5F6B87C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70</xdr:col>
      <xdr:colOff>0</xdr:colOff>
      <xdr:row>3</xdr:row>
      <xdr:rowOff>2719</xdr:rowOff>
    </xdr:from>
    <xdr:to>
      <xdr:col>76</xdr:col>
      <xdr:colOff>471715</xdr:colOff>
      <xdr:row>16</xdr:row>
      <xdr:rowOff>154214</xdr:rowOff>
    </xdr:to>
    <xdr:graphicFrame macro="">
      <xdr:nvGraphicFramePr>
        <xdr:cNvPr id="3" name="Chart 34">
          <a:extLst>
            <a:ext uri="{FF2B5EF4-FFF2-40B4-BE49-F238E27FC236}">
              <a16:creationId xmlns:a16="http://schemas.microsoft.com/office/drawing/2014/main" id="{D49D250A-5BC5-41CB-9D2C-32A7F40B13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29</xdr:col>
      <xdr:colOff>294821</xdr:colOff>
      <xdr:row>50</xdr:row>
      <xdr:rowOff>125187</xdr:rowOff>
    </xdr:from>
    <xdr:to>
      <xdr:col>35</xdr:col>
      <xdr:colOff>458107</xdr:colOff>
      <xdr:row>65</xdr:row>
      <xdr:rowOff>146958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1A06BF8-1D98-E32E-026E-803FAC430C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40</xdr:col>
      <xdr:colOff>136070</xdr:colOff>
      <xdr:row>49</xdr:row>
      <xdr:rowOff>99786</xdr:rowOff>
    </xdr:from>
    <xdr:to>
      <xdr:col>47</xdr:col>
      <xdr:colOff>453570</xdr:colOff>
      <xdr:row>64</xdr:row>
      <xdr:rowOff>121558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35023C0-D260-4735-A004-D6AFB0B4222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515936</xdr:colOff>
      <xdr:row>36</xdr:row>
      <xdr:rowOff>19212</xdr:rowOff>
    </xdr:from>
    <xdr:to>
      <xdr:col>8</xdr:col>
      <xdr:colOff>355297</xdr:colOff>
      <xdr:row>57</xdr:row>
      <xdr:rowOff>74083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E98F88-0BAF-1AFB-11D1-DA7D30B70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0103" y="6496212"/>
          <a:ext cx="4564063" cy="3833121"/>
        </a:xfrm>
        <a:prstGeom prst="rect">
          <a:avLst/>
        </a:prstGeom>
      </xdr:spPr>
    </xdr:pic>
    <xdr:clientData/>
  </xdr:twoCellAnchor>
  <xdr:twoCellAnchor editAs="oneCell">
    <xdr:from>
      <xdr:col>10</xdr:col>
      <xdr:colOff>408213</xdr:colOff>
      <xdr:row>15</xdr:row>
      <xdr:rowOff>172357</xdr:rowOff>
    </xdr:from>
    <xdr:to>
      <xdr:col>22</xdr:col>
      <xdr:colOff>249937</xdr:colOff>
      <xdr:row>34</xdr:row>
      <xdr:rowOff>114552</xdr:rowOff>
    </xdr:to>
    <xdr:pic>
      <xdr:nvPicPr>
        <xdr:cNvPr id="2" name="Picture 6">
          <a:extLst>
            <a:ext uri="{FF2B5EF4-FFF2-40B4-BE49-F238E27FC236}">
              <a16:creationId xmlns:a16="http://schemas.microsoft.com/office/drawing/2014/main" id="{F53AB94B-4719-4405-8129-FD888E1CC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12499" y="2893786"/>
          <a:ext cx="8096724" cy="3436962"/>
        </a:xfrm>
        <a:prstGeom prst="rect">
          <a:avLst/>
        </a:prstGeom>
      </xdr:spPr>
    </xdr:pic>
    <xdr:clientData/>
  </xdr:twoCellAnchor>
  <xdr:twoCellAnchor>
    <xdr:from>
      <xdr:col>26</xdr:col>
      <xdr:colOff>417285</xdr:colOff>
      <xdr:row>29</xdr:row>
      <xdr:rowOff>117930</xdr:rowOff>
    </xdr:from>
    <xdr:to>
      <xdr:col>31</xdr:col>
      <xdr:colOff>299357</xdr:colOff>
      <xdr:row>36</xdr:row>
      <xdr:rowOff>27214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58C76E23-BC8D-48B6-83CC-466F4DA8F6E4}"/>
            </a:ext>
          </a:extLst>
        </xdr:cNvPr>
        <xdr:cNvSpPr/>
      </xdr:nvSpPr>
      <xdr:spPr>
        <a:xfrm>
          <a:off x="21472071" y="5379359"/>
          <a:ext cx="2921000" cy="1179284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27</xdr:col>
      <xdr:colOff>362855</xdr:colOff>
      <xdr:row>24</xdr:row>
      <xdr:rowOff>172357</xdr:rowOff>
    </xdr:from>
    <xdr:to>
      <xdr:col>30</xdr:col>
      <xdr:colOff>166307</xdr:colOff>
      <xdr:row>28</xdr:row>
      <xdr:rowOff>117929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EE5A15C1-4462-489A-8611-7C1B6829B2D0}"/>
            </a:ext>
          </a:extLst>
        </xdr:cNvPr>
        <xdr:cNvSpPr txBox="1"/>
      </xdr:nvSpPr>
      <xdr:spPr>
        <a:xfrm>
          <a:off x="22025426" y="4526643"/>
          <a:ext cx="2007810" cy="67128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PT" sz="1100" baseline="0"/>
            <a:t>9 espaçamentos</a:t>
          </a:r>
        </a:p>
        <a:p>
          <a:pPr algn="ctr"/>
          <a:endParaRPr lang="pt-PT" sz="1100" baseline="0"/>
        </a:p>
        <a:p>
          <a:pPr algn="ctr"/>
          <a:r>
            <a:rPr lang="pt-PT" sz="1100" baseline="0"/>
            <a:t>9* (8*29,6) </a:t>
          </a:r>
          <a:endParaRPr lang="pt-PT" sz="1100"/>
        </a:p>
      </xdr:txBody>
    </xdr:sp>
    <xdr:clientData/>
  </xdr:twoCellAnchor>
  <xdr:twoCellAnchor>
    <xdr:from>
      <xdr:col>23</xdr:col>
      <xdr:colOff>126998</xdr:colOff>
      <xdr:row>29</xdr:row>
      <xdr:rowOff>117928</xdr:rowOff>
    </xdr:from>
    <xdr:to>
      <xdr:col>26</xdr:col>
      <xdr:colOff>305403</xdr:colOff>
      <xdr:row>33</xdr:row>
      <xdr:rowOff>42333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9E27B6B-E4ED-4371-9B32-165D9B4B5D76}"/>
            </a:ext>
          </a:extLst>
        </xdr:cNvPr>
        <xdr:cNvSpPr txBox="1"/>
      </xdr:nvSpPr>
      <xdr:spPr>
        <a:xfrm>
          <a:off x="19358427" y="5379357"/>
          <a:ext cx="2001762" cy="6501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PT" sz="1100" baseline="0"/>
            <a:t>4 espaçamentos</a:t>
          </a:r>
        </a:p>
        <a:p>
          <a:pPr algn="ctr"/>
          <a:endParaRPr lang="pt-PT" sz="1100" baseline="0"/>
        </a:p>
        <a:p>
          <a:pPr algn="ctr"/>
          <a:r>
            <a:rPr lang="pt-PT" sz="1100" baseline="0"/>
            <a:t>4* (1,5*29,6) </a:t>
          </a:r>
          <a:endParaRPr lang="pt-PT" sz="1100"/>
        </a:p>
      </xdr:txBody>
    </xdr:sp>
    <xdr:clientData/>
  </xdr:twoCellAnchor>
  <xdr:twoCellAnchor>
    <xdr:from>
      <xdr:col>26</xdr:col>
      <xdr:colOff>362857</xdr:colOff>
      <xdr:row>35</xdr:row>
      <xdr:rowOff>163286</xdr:rowOff>
    </xdr:from>
    <xdr:to>
      <xdr:col>26</xdr:col>
      <xdr:colOff>517072</xdr:colOff>
      <xdr:row>36</xdr:row>
      <xdr:rowOff>63500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1AFC391E-E600-4096-A7E2-A2FC80303A34}"/>
            </a:ext>
          </a:extLst>
        </xdr:cNvPr>
        <xdr:cNvSpPr/>
      </xdr:nvSpPr>
      <xdr:spPr>
        <a:xfrm>
          <a:off x="21417643" y="6513286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26</xdr:col>
      <xdr:colOff>351971</xdr:colOff>
      <xdr:row>34</xdr:row>
      <xdr:rowOff>25400</xdr:rowOff>
    </xdr:from>
    <xdr:to>
      <xdr:col>26</xdr:col>
      <xdr:colOff>506186</xdr:colOff>
      <xdr:row>34</xdr:row>
      <xdr:rowOff>107043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id="{44E9E157-AA58-4122-B538-F7FDEF3A5F80}"/>
            </a:ext>
          </a:extLst>
        </xdr:cNvPr>
        <xdr:cNvSpPr/>
      </xdr:nvSpPr>
      <xdr:spPr>
        <a:xfrm>
          <a:off x="21406757" y="6193971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26</xdr:col>
      <xdr:colOff>350157</xdr:colOff>
      <xdr:row>32</xdr:row>
      <xdr:rowOff>68943</xdr:rowOff>
    </xdr:from>
    <xdr:to>
      <xdr:col>26</xdr:col>
      <xdr:colOff>504372</xdr:colOff>
      <xdr:row>32</xdr:row>
      <xdr:rowOff>150586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91EDE58D-BAD0-4987-9358-DD602336F2A8}"/>
            </a:ext>
          </a:extLst>
        </xdr:cNvPr>
        <xdr:cNvSpPr/>
      </xdr:nvSpPr>
      <xdr:spPr>
        <a:xfrm>
          <a:off x="21404943" y="5874657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26</xdr:col>
      <xdr:colOff>371928</xdr:colOff>
      <xdr:row>29</xdr:row>
      <xdr:rowOff>72571</xdr:rowOff>
    </xdr:from>
    <xdr:to>
      <xdr:col>26</xdr:col>
      <xdr:colOff>526143</xdr:colOff>
      <xdr:row>29</xdr:row>
      <xdr:rowOff>154214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A974F002-7585-4AC9-8832-B8B5BF5AEB30}"/>
            </a:ext>
          </a:extLst>
        </xdr:cNvPr>
        <xdr:cNvSpPr/>
      </xdr:nvSpPr>
      <xdr:spPr>
        <a:xfrm>
          <a:off x="21426714" y="5334000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26</xdr:col>
      <xdr:colOff>362857</xdr:colOff>
      <xdr:row>30</xdr:row>
      <xdr:rowOff>136071</xdr:rowOff>
    </xdr:from>
    <xdr:to>
      <xdr:col>26</xdr:col>
      <xdr:colOff>517072</xdr:colOff>
      <xdr:row>31</xdr:row>
      <xdr:rowOff>36285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843B2263-FD16-4C47-A542-5B33A5AC0C7F}"/>
            </a:ext>
          </a:extLst>
        </xdr:cNvPr>
        <xdr:cNvSpPr/>
      </xdr:nvSpPr>
      <xdr:spPr>
        <a:xfrm>
          <a:off x="21417643" y="5578928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69</xdr:col>
      <xdr:colOff>495300</xdr:colOff>
      <xdr:row>60</xdr:row>
      <xdr:rowOff>152400</xdr:rowOff>
    </xdr:from>
    <xdr:to>
      <xdr:col>77</xdr:col>
      <xdr:colOff>190500</xdr:colOff>
      <xdr:row>76</xdr:row>
      <xdr:rowOff>0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B317707D-6965-DBE9-FB0C-C0CF69666E81}"/>
            </a:ext>
            <a:ext uri="{147F2762-F138-4A5C-976F-8EAC2B608ADB}">
              <a16:predDERef xmlns:a16="http://schemas.microsoft.com/office/drawing/2014/main" pred="{843B2263-FD16-4C47-A542-5B33A5AC0C7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55</xdr:col>
      <xdr:colOff>819150</xdr:colOff>
      <xdr:row>63</xdr:row>
      <xdr:rowOff>95250</xdr:rowOff>
    </xdr:from>
    <xdr:to>
      <xdr:col>63</xdr:col>
      <xdr:colOff>19050</xdr:colOff>
      <xdr:row>78</xdr:row>
      <xdr:rowOff>123825</xdr:rowOff>
    </xdr:to>
    <xdr:graphicFrame macro="">
      <xdr:nvGraphicFramePr>
        <xdr:cNvPr id="13" name="Gráfico 12">
          <a:extLst>
            <a:ext uri="{FF2B5EF4-FFF2-40B4-BE49-F238E27FC236}">
              <a16:creationId xmlns:a16="http://schemas.microsoft.com/office/drawing/2014/main" id="{0B04327C-C15A-2070-413A-432189D1A0DE}"/>
            </a:ext>
            <a:ext uri="{147F2762-F138-4A5C-976F-8EAC2B608ADB}">
              <a16:predDERef xmlns:a16="http://schemas.microsoft.com/office/drawing/2014/main" pred="{B317707D-6965-DBE9-FB0C-C0CF69666E8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55</xdr:col>
      <xdr:colOff>449792</xdr:colOff>
      <xdr:row>114</xdr:row>
      <xdr:rowOff>67733</xdr:rowOff>
    </xdr:from>
    <xdr:to>
      <xdr:col>62</xdr:col>
      <xdr:colOff>259292</xdr:colOff>
      <xdr:row>129</xdr:row>
      <xdr:rowOff>96308</xdr:rowOff>
    </xdr:to>
    <xdr:graphicFrame macro="">
      <xdr:nvGraphicFramePr>
        <xdr:cNvPr id="17" name="Gráfico 13">
          <a:extLst>
            <a:ext uri="{FF2B5EF4-FFF2-40B4-BE49-F238E27FC236}">
              <a16:creationId xmlns:a16="http://schemas.microsoft.com/office/drawing/2014/main" id="{22D20C95-2FD3-B84B-65C7-06825B6A39DE}"/>
            </a:ext>
            <a:ext uri="{147F2762-F138-4A5C-976F-8EAC2B608ADB}">
              <a16:predDERef xmlns:a16="http://schemas.microsoft.com/office/drawing/2014/main" pred="{0B04327C-C15A-2070-413A-432189D1A0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84</xdr:col>
      <xdr:colOff>600075</xdr:colOff>
      <xdr:row>110</xdr:row>
      <xdr:rowOff>28575</xdr:rowOff>
    </xdr:from>
    <xdr:to>
      <xdr:col>92</xdr:col>
      <xdr:colOff>295275</xdr:colOff>
      <xdr:row>125</xdr:row>
      <xdr:rowOff>57150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7A8ACE51-E334-E910-E5B0-642758479472}"/>
            </a:ext>
            <a:ext uri="{147F2762-F138-4A5C-976F-8EAC2B608ADB}">
              <a16:predDERef xmlns:a16="http://schemas.microsoft.com/office/drawing/2014/main" pred="{22D20C95-2FD3-B84B-65C7-06825B6A39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47</xdr:col>
      <xdr:colOff>312209</xdr:colOff>
      <xdr:row>101</xdr:row>
      <xdr:rowOff>136525</xdr:rowOff>
    </xdr:from>
    <xdr:to>
      <xdr:col>53</xdr:col>
      <xdr:colOff>317501</xdr:colOff>
      <xdr:row>115</xdr:row>
      <xdr:rowOff>10583</xdr:rowOff>
    </xdr:to>
    <xdr:graphicFrame macro="">
      <xdr:nvGraphicFramePr>
        <xdr:cNvPr id="29" name="Chart 19">
          <a:extLst>
            <a:ext uri="{FF2B5EF4-FFF2-40B4-BE49-F238E27FC236}">
              <a16:creationId xmlns:a16="http://schemas.microsoft.com/office/drawing/2014/main" id="{F6A20A68-C14F-D939-9E16-22D2A8847E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43</xdr:col>
      <xdr:colOff>444498</xdr:colOff>
      <xdr:row>116</xdr:row>
      <xdr:rowOff>31750</xdr:rowOff>
    </xdr:from>
    <xdr:to>
      <xdr:col>51</xdr:col>
      <xdr:colOff>391583</xdr:colOff>
      <xdr:row>135</xdr:row>
      <xdr:rowOff>21167</xdr:rowOff>
    </xdr:to>
    <xdr:graphicFrame macro="">
      <xdr:nvGraphicFramePr>
        <xdr:cNvPr id="49" name="Gráfico 14">
          <a:extLst>
            <a:ext uri="{FF2B5EF4-FFF2-40B4-BE49-F238E27FC236}">
              <a16:creationId xmlns:a16="http://schemas.microsoft.com/office/drawing/2014/main" id="{8510120A-F1E1-4D1A-9F1F-2EF31D2B44E3}"/>
            </a:ext>
            <a:ext uri="{147F2762-F138-4A5C-976F-8EAC2B608ADB}">
              <a16:predDERef xmlns:a16="http://schemas.microsoft.com/office/drawing/2014/main" pred="{22D20C95-2FD3-B84B-65C7-06825B6A39D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80</xdr:col>
      <xdr:colOff>428625</xdr:colOff>
      <xdr:row>1</xdr:row>
      <xdr:rowOff>47625</xdr:rowOff>
    </xdr:from>
    <xdr:to>
      <xdr:col>91</xdr:col>
      <xdr:colOff>341842</xdr:colOff>
      <xdr:row>22</xdr:row>
      <xdr:rowOff>69850</xdr:rowOff>
    </xdr:to>
    <xdr:graphicFrame macro="">
      <xdr:nvGraphicFramePr>
        <xdr:cNvPr id="19" name="Gráfico 1">
          <a:extLst>
            <a:ext uri="{FF2B5EF4-FFF2-40B4-BE49-F238E27FC236}">
              <a16:creationId xmlns:a16="http://schemas.microsoft.com/office/drawing/2014/main" id="{55383C44-120D-E5C4-35B9-66C21E5C38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57</xdr:col>
      <xdr:colOff>67130</xdr:colOff>
      <xdr:row>46</xdr:row>
      <xdr:rowOff>85271</xdr:rowOff>
    </xdr:from>
    <xdr:to>
      <xdr:col>63</xdr:col>
      <xdr:colOff>435429</xdr:colOff>
      <xdr:row>60</xdr:row>
      <xdr:rowOff>108857</xdr:rowOff>
    </xdr:to>
    <xdr:graphicFrame macro="">
      <xdr:nvGraphicFramePr>
        <xdr:cNvPr id="16" name="Gráfico 2">
          <a:extLst>
            <a:ext uri="{FF2B5EF4-FFF2-40B4-BE49-F238E27FC236}">
              <a16:creationId xmlns:a16="http://schemas.microsoft.com/office/drawing/2014/main" id="{0A75F26D-FB74-4D41-42C5-9C88FC1BAD1F}"/>
            </a:ext>
            <a:ext uri="{147F2762-F138-4A5C-976F-8EAC2B608ADB}">
              <a16:predDERef xmlns:a16="http://schemas.microsoft.com/office/drawing/2014/main" pred="{55383C44-120D-E5C4-35B9-66C21E5C38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63</xdr:col>
      <xdr:colOff>0</xdr:colOff>
      <xdr:row>82</xdr:row>
      <xdr:rowOff>0</xdr:rowOff>
    </xdr:from>
    <xdr:to>
      <xdr:col>63</xdr:col>
      <xdr:colOff>0</xdr:colOff>
      <xdr:row>82</xdr:row>
      <xdr:rowOff>0</xdr:rowOff>
    </xdr:to>
    <xdr:pic>
      <xdr:nvPicPr>
        <xdr:cNvPr id="3" name="Imagem 1">
          <a:extLst>
            <a:ext uri="{FF2B5EF4-FFF2-40B4-BE49-F238E27FC236}">
              <a16:creationId xmlns:a16="http://schemas.microsoft.com/office/drawing/2014/main" id="{FB11EAF6-F790-E927-B048-91D22BCF60C1}"/>
            </a:ext>
            <a:ext uri="{147F2762-F138-4A5C-976F-8EAC2B608ADB}">
              <a16:predDERef xmlns:a16="http://schemas.microsoft.com/office/drawing/2014/main" pred="{0A75F26D-FB74-4D41-42C5-9C88FC1BA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476625"/>
          <a:ext cx="3371850" cy="4572000"/>
        </a:xfrm>
        <a:prstGeom prst="rect">
          <a:avLst/>
        </a:prstGeom>
      </xdr:spPr>
    </xdr:pic>
    <xdr:clientData/>
  </xdr:twoCellAnchor>
  <xdr:twoCellAnchor>
    <xdr:from>
      <xdr:col>119</xdr:col>
      <xdr:colOff>161926</xdr:colOff>
      <xdr:row>0</xdr:row>
      <xdr:rowOff>1</xdr:rowOff>
    </xdr:from>
    <xdr:to>
      <xdr:col>128</xdr:col>
      <xdr:colOff>90714</xdr:colOff>
      <xdr:row>16</xdr:row>
      <xdr:rowOff>45358</xdr:rowOff>
    </xdr:to>
    <xdr:graphicFrame macro="">
      <xdr:nvGraphicFramePr>
        <xdr:cNvPr id="113" name="Gráfico 2">
          <a:extLst>
            <a:ext uri="{FF2B5EF4-FFF2-40B4-BE49-F238E27FC236}">
              <a16:creationId xmlns:a16="http://schemas.microsoft.com/office/drawing/2014/main" id="{02905A22-3C2F-3CC5-C679-0FEE6E117250}"/>
            </a:ext>
            <a:ext uri="{147F2762-F138-4A5C-976F-8EAC2B608ADB}">
              <a16:predDERef xmlns:a16="http://schemas.microsoft.com/office/drawing/2014/main" pred="{FB11EAF6-F790-E927-B048-91D22BCF60C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108</xdr:col>
      <xdr:colOff>161925</xdr:colOff>
      <xdr:row>2</xdr:row>
      <xdr:rowOff>95250</xdr:rowOff>
    </xdr:from>
    <xdr:to>
      <xdr:col>119</xdr:col>
      <xdr:colOff>75142</xdr:colOff>
      <xdr:row>23</xdr:row>
      <xdr:rowOff>117475</xdr:rowOff>
    </xdr:to>
    <xdr:graphicFrame macro="">
      <xdr:nvGraphicFramePr>
        <xdr:cNvPr id="141" name="Gráfico 1">
          <a:extLst>
            <a:ext uri="{FF2B5EF4-FFF2-40B4-BE49-F238E27FC236}">
              <a16:creationId xmlns:a16="http://schemas.microsoft.com/office/drawing/2014/main" id="{A36F3382-3144-5516-0CB8-128D99A1FA79}"/>
            </a:ext>
            <a:ext uri="{147F2762-F138-4A5C-976F-8EAC2B608ADB}">
              <a16:predDERef xmlns:a16="http://schemas.microsoft.com/office/drawing/2014/main" pred="{02905A22-3C2F-3CC5-C679-0FEE6E11725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71</xdr:col>
      <xdr:colOff>466725</xdr:colOff>
      <xdr:row>0</xdr:row>
      <xdr:rowOff>-19050</xdr:rowOff>
    </xdr:from>
    <xdr:to>
      <xdr:col>82</xdr:col>
      <xdr:colOff>379942</xdr:colOff>
      <xdr:row>21</xdr:row>
      <xdr:rowOff>3175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084C6BB3-DEB2-731C-CBE9-84A5EBB0B645}"/>
            </a:ext>
            <a:ext uri="{147F2762-F138-4A5C-976F-8EAC2B608ADB}">
              <a16:predDERef xmlns:a16="http://schemas.microsoft.com/office/drawing/2014/main" pred="{A36F3382-3144-5516-0CB8-128D99A1FA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63</xdr:col>
      <xdr:colOff>0</xdr:colOff>
      <xdr:row>82</xdr:row>
      <xdr:rowOff>0</xdr:rowOff>
    </xdr:from>
    <xdr:to>
      <xdr:col>63</xdr:col>
      <xdr:colOff>0</xdr:colOff>
      <xdr:row>82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A755E62-B225-FDDB-0D8A-8290307C1C95}"/>
            </a:ext>
            <a:ext uri="{147F2762-F138-4A5C-976F-8EAC2B608ADB}">
              <a16:predDERef xmlns:a16="http://schemas.microsoft.com/office/drawing/2014/main" pred="{084C6BB3-DEB2-731C-CBE9-84A5EBB0B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2158900" y="180975"/>
          <a:ext cx="3057525" cy="4572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82</xdr:row>
      <xdr:rowOff>0</xdr:rowOff>
    </xdr:from>
    <xdr:to>
      <xdr:col>63</xdr:col>
      <xdr:colOff>0</xdr:colOff>
      <xdr:row>82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44F36C-F703-FB87-643D-EF7F3F298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667072" y="308429"/>
          <a:ext cx="2502029" cy="4102311"/>
        </a:xfrm>
        <a:prstGeom prst="rect">
          <a:avLst/>
        </a:prstGeom>
      </xdr:spPr>
    </xdr:pic>
    <xdr:clientData/>
  </xdr:twoCellAnchor>
  <xdr:twoCellAnchor>
    <xdr:from>
      <xdr:col>49</xdr:col>
      <xdr:colOff>304800</xdr:colOff>
      <xdr:row>196</xdr:row>
      <xdr:rowOff>0</xdr:rowOff>
    </xdr:from>
    <xdr:to>
      <xdr:col>58</xdr:col>
      <xdr:colOff>589492</xdr:colOff>
      <xdr:row>217</xdr:row>
      <xdr:rowOff>31750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F4D19486-8E3A-A824-71DC-BD56D9350508}"/>
            </a:ext>
            <a:ext uri="{147F2762-F138-4A5C-976F-8EAC2B608ADB}">
              <a16:predDERef xmlns:a16="http://schemas.microsoft.com/office/drawing/2014/main" pred="{4444F36C-F703-FB87-643D-EF7F3F2985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70</xdr:col>
      <xdr:colOff>163285</xdr:colOff>
      <xdr:row>44</xdr:row>
      <xdr:rowOff>117929</xdr:rowOff>
    </xdr:from>
    <xdr:to>
      <xdr:col>77</xdr:col>
      <xdr:colOff>103716</xdr:colOff>
      <xdr:row>56</xdr:row>
      <xdr:rowOff>79375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DEA90433-D4FF-119B-9DA4-EBE1B13092A1}"/>
            </a:ext>
            <a:ext uri="{147F2762-F138-4A5C-976F-8EAC2B608ADB}">
              <a16:predDERef xmlns:a16="http://schemas.microsoft.com/office/drawing/2014/main" pred="{F4D19486-8E3A-A824-71DC-BD56D935050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89</xdr:col>
      <xdr:colOff>47625</xdr:colOff>
      <xdr:row>56</xdr:row>
      <xdr:rowOff>114300</xdr:rowOff>
    </xdr:from>
    <xdr:to>
      <xdr:col>99</xdr:col>
      <xdr:colOff>570442</xdr:colOff>
      <xdr:row>77</xdr:row>
      <xdr:rowOff>127000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279D7A5C-6B5B-7D29-4CAB-E7268D9CC4D1}"/>
            </a:ext>
            <a:ext uri="{147F2762-F138-4A5C-976F-8EAC2B608ADB}">
              <a16:predDERef xmlns:a16="http://schemas.microsoft.com/office/drawing/2014/main" pred="{DEA90433-D4FF-119B-9DA4-EBE1B13092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74</xdr:col>
      <xdr:colOff>47625</xdr:colOff>
      <xdr:row>58</xdr:row>
      <xdr:rowOff>57150</xdr:rowOff>
    </xdr:from>
    <xdr:to>
      <xdr:col>84</xdr:col>
      <xdr:colOff>570442</xdr:colOff>
      <xdr:row>79</xdr:row>
      <xdr:rowOff>69850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858907DB-79C5-21E7-7606-9D94ACBA8558}"/>
            </a:ext>
            <a:ext uri="{147F2762-F138-4A5C-976F-8EAC2B608ADB}">
              <a16:predDERef xmlns:a16="http://schemas.microsoft.com/office/drawing/2014/main" pred="{279D7A5C-6B5B-7D29-4CAB-E7268D9CC4D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65</xdr:col>
      <xdr:colOff>552450</xdr:colOff>
      <xdr:row>103</xdr:row>
      <xdr:rowOff>85725</xdr:rowOff>
    </xdr:from>
    <xdr:to>
      <xdr:col>76</xdr:col>
      <xdr:colOff>151342</xdr:colOff>
      <xdr:row>124</xdr:row>
      <xdr:rowOff>117475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B3E84365-34ED-823B-C38B-320BBD251B1F}"/>
            </a:ext>
            <a:ext uri="{147F2762-F138-4A5C-976F-8EAC2B608ADB}">
              <a16:predDERef xmlns:a16="http://schemas.microsoft.com/office/drawing/2014/main" pred="{858907DB-79C5-21E7-7606-9D94ACBA85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65</xdr:col>
      <xdr:colOff>57150</xdr:colOff>
      <xdr:row>119</xdr:row>
      <xdr:rowOff>47625</xdr:rowOff>
    </xdr:from>
    <xdr:to>
      <xdr:col>75</xdr:col>
      <xdr:colOff>265642</xdr:colOff>
      <xdr:row>140</xdr:row>
      <xdr:rowOff>79375</xdr:rowOff>
    </xdr:to>
    <xdr:graphicFrame macro="">
      <xdr:nvGraphicFramePr>
        <xdr:cNvPr id="13" name="Gráfico 12">
          <a:extLst>
            <a:ext uri="{FF2B5EF4-FFF2-40B4-BE49-F238E27FC236}">
              <a16:creationId xmlns:a16="http://schemas.microsoft.com/office/drawing/2014/main" id="{69CEB311-4115-7FCE-0D10-BCA73014229A}"/>
            </a:ext>
            <a:ext uri="{147F2762-F138-4A5C-976F-8EAC2B608ADB}">
              <a16:predDERef xmlns:a16="http://schemas.microsoft.com/office/drawing/2014/main" pred="{B3E84365-34ED-823B-C38B-320BBD251B1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63</xdr:col>
      <xdr:colOff>495300</xdr:colOff>
      <xdr:row>122</xdr:row>
      <xdr:rowOff>38100</xdr:rowOff>
    </xdr:from>
    <xdr:to>
      <xdr:col>73</xdr:col>
      <xdr:colOff>532342</xdr:colOff>
      <xdr:row>143</xdr:row>
      <xdr:rowOff>69850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714C9306-6B07-D15B-DB77-1FE1CCA67F4F}"/>
            </a:ext>
            <a:ext uri="{147F2762-F138-4A5C-976F-8EAC2B608ADB}">
              <a16:predDERef xmlns:a16="http://schemas.microsoft.com/office/drawing/2014/main" pred="{69CEB311-4115-7FCE-0D10-BCA73014229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65</xdr:col>
      <xdr:colOff>323850</xdr:colOff>
      <xdr:row>143</xdr:row>
      <xdr:rowOff>123825</xdr:rowOff>
    </xdr:from>
    <xdr:to>
      <xdr:col>75</xdr:col>
      <xdr:colOff>532342</xdr:colOff>
      <xdr:row>164</xdr:row>
      <xdr:rowOff>155575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0AED12A8-073D-172F-30F5-CDD595521452}"/>
            </a:ext>
            <a:ext uri="{147F2762-F138-4A5C-976F-8EAC2B608ADB}">
              <a16:predDERef xmlns:a16="http://schemas.microsoft.com/office/drawing/2014/main" pred="{714C9306-6B07-D15B-DB77-1FE1CCA67F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82</xdr:col>
      <xdr:colOff>161925</xdr:colOff>
      <xdr:row>95</xdr:row>
      <xdr:rowOff>161925</xdr:rowOff>
    </xdr:from>
    <xdr:to>
      <xdr:col>93</xdr:col>
      <xdr:colOff>75142</xdr:colOff>
      <xdr:row>117</xdr:row>
      <xdr:rowOff>12700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1018D971-AD81-EF59-F9CC-8CA3955DCB22}"/>
            </a:ext>
            <a:ext uri="{147F2762-F138-4A5C-976F-8EAC2B608ADB}">
              <a16:predDERef xmlns:a16="http://schemas.microsoft.com/office/drawing/2014/main" pred="{0AED12A8-073D-172F-30F5-CDD59552145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82</xdr:col>
      <xdr:colOff>552450</xdr:colOff>
      <xdr:row>79</xdr:row>
      <xdr:rowOff>123825</xdr:rowOff>
    </xdr:from>
    <xdr:to>
      <xdr:col>88</xdr:col>
      <xdr:colOff>123825</xdr:colOff>
      <xdr:row>89</xdr:row>
      <xdr:rowOff>123825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B0C94825-B50F-0C53-09D5-7A3AF1B6B5F5}"/>
            </a:ext>
            <a:ext uri="{147F2762-F138-4A5C-976F-8EAC2B608ADB}">
              <a16:predDERef xmlns:a16="http://schemas.microsoft.com/office/drawing/2014/main" pred="{1018D971-AD81-EF59-F9CC-8CA3955DCB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97</xdr:col>
      <xdr:colOff>342900</xdr:colOff>
      <xdr:row>102</xdr:row>
      <xdr:rowOff>38100</xdr:rowOff>
    </xdr:from>
    <xdr:to>
      <xdr:col>108</xdr:col>
      <xdr:colOff>256117</xdr:colOff>
      <xdr:row>123</xdr:row>
      <xdr:rowOff>69850</xdr:rowOff>
    </xdr:to>
    <xdr:graphicFrame macro="">
      <xdr:nvGraphicFramePr>
        <xdr:cNvPr id="22" name="Gráfico 21">
          <a:extLst>
            <a:ext uri="{FF2B5EF4-FFF2-40B4-BE49-F238E27FC236}">
              <a16:creationId xmlns:a16="http://schemas.microsoft.com/office/drawing/2014/main" id="{4D7DCE13-2F0B-6C54-F08D-EDC7CC8C93EB}"/>
            </a:ext>
            <a:ext uri="{147F2762-F138-4A5C-976F-8EAC2B608ADB}">
              <a16:predDERef xmlns:a16="http://schemas.microsoft.com/office/drawing/2014/main" pred="{B0C94825-B50F-0C53-09D5-7A3AF1B6B5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100</xdr:col>
      <xdr:colOff>514350</xdr:colOff>
      <xdr:row>76</xdr:row>
      <xdr:rowOff>133350</xdr:rowOff>
    </xdr:from>
    <xdr:to>
      <xdr:col>106</xdr:col>
      <xdr:colOff>542925</xdr:colOff>
      <xdr:row>90</xdr:row>
      <xdr:rowOff>171450</xdr:rowOff>
    </xdr:to>
    <xdr:graphicFrame macro="">
      <xdr:nvGraphicFramePr>
        <xdr:cNvPr id="23" name="Gráfico 22">
          <a:extLst>
            <a:ext uri="{FF2B5EF4-FFF2-40B4-BE49-F238E27FC236}">
              <a16:creationId xmlns:a16="http://schemas.microsoft.com/office/drawing/2014/main" id="{076B2AA0-A44D-917B-F990-6BE5F7172220}"/>
            </a:ext>
            <a:ext uri="{147F2762-F138-4A5C-976F-8EAC2B608ADB}">
              <a16:predDERef xmlns:a16="http://schemas.microsoft.com/office/drawing/2014/main" pred="{4D7DCE13-2F0B-6C54-F08D-EDC7CC8C93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112</xdr:col>
      <xdr:colOff>485775</xdr:colOff>
      <xdr:row>103</xdr:row>
      <xdr:rowOff>161925</xdr:rowOff>
    </xdr:from>
    <xdr:to>
      <xdr:col>123</xdr:col>
      <xdr:colOff>398992</xdr:colOff>
      <xdr:row>125</xdr:row>
      <xdr:rowOff>12700</xdr:rowOff>
    </xdr:to>
    <xdr:graphicFrame macro="">
      <xdr:nvGraphicFramePr>
        <xdr:cNvPr id="25" name="Gráfico 24">
          <a:extLst>
            <a:ext uri="{FF2B5EF4-FFF2-40B4-BE49-F238E27FC236}">
              <a16:creationId xmlns:a16="http://schemas.microsoft.com/office/drawing/2014/main" id="{861F996F-CC69-28A8-16B1-4E2F682DBF0D}"/>
            </a:ext>
            <a:ext uri="{147F2762-F138-4A5C-976F-8EAC2B608ADB}">
              <a16:predDERef xmlns:a16="http://schemas.microsoft.com/office/drawing/2014/main" pred="{076B2AA0-A44D-917B-F990-6BE5F717222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115</xdr:col>
      <xdr:colOff>247650</xdr:colOff>
      <xdr:row>81</xdr:row>
      <xdr:rowOff>28575</xdr:rowOff>
    </xdr:from>
    <xdr:to>
      <xdr:col>120</xdr:col>
      <xdr:colOff>123825</xdr:colOff>
      <xdr:row>90</xdr:row>
      <xdr:rowOff>133350</xdr:rowOff>
    </xdr:to>
    <xdr:graphicFrame macro="">
      <xdr:nvGraphicFramePr>
        <xdr:cNvPr id="26" name="Gráfico 25">
          <a:extLst>
            <a:ext uri="{FF2B5EF4-FFF2-40B4-BE49-F238E27FC236}">
              <a16:creationId xmlns:a16="http://schemas.microsoft.com/office/drawing/2014/main" id="{151E73D5-0EF0-CC35-B7EC-9C75083473E1}"/>
            </a:ext>
            <a:ext uri="{147F2762-F138-4A5C-976F-8EAC2B608ADB}">
              <a16:predDERef xmlns:a16="http://schemas.microsoft.com/office/drawing/2014/main" pred="{861F996F-CC69-28A8-16B1-4E2F682DBF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155</xdr:col>
      <xdr:colOff>219075</xdr:colOff>
      <xdr:row>95</xdr:row>
      <xdr:rowOff>85725</xdr:rowOff>
    </xdr:from>
    <xdr:to>
      <xdr:col>166</xdr:col>
      <xdr:colOff>133350</xdr:colOff>
      <xdr:row>116</xdr:row>
      <xdr:rowOff>114300</xdr:rowOff>
    </xdr:to>
    <xdr:graphicFrame macro="">
      <xdr:nvGraphicFramePr>
        <xdr:cNvPr id="27" name="Gráfico 26">
          <a:extLst>
            <a:ext uri="{FF2B5EF4-FFF2-40B4-BE49-F238E27FC236}">
              <a16:creationId xmlns:a16="http://schemas.microsoft.com/office/drawing/2014/main" id="{6B3B5FBD-B6FA-7B39-B632-64BACFE7CECE}"/>
            </a:ext>
            <a:ext uri="{147F2762-F138-4A5C-976F-8EAC2B608ADB}">
              <a16:predDERef xmlns:a16="http://schemas.microsoft.com/office/drawing/2014/main" pred="{151E73D5-0EF0-CC35-B7EC-9C75083473E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145</xdr:col>
      <xdr:colOff>66675</xdr:colOff>
      <xdr:row>84</xdr:row>
      <xdr:rowOff>0</xdr:rowOff>
    </xdr:from>
    <xdr:to>
      <xdr:col>149</xdr:col>
      <xdr:colOff>95250</xdr:colOff>
      <xdr:row>93</xdr:row>
      <xdr:rowOff>104775</xdr:rowOff>
    </xdr:to>
    <xdr:graphicFrame macro="">
      <xdr:nvGraphicFramePr>
        <xdr:cNvPr id="28" name="Gráfico 27">
          <a:extLst>
            <a:ext uri="{FF2B5EF4-FFF2-40B4-BE49-F238E27FC236}">
              <a16:creationId xmlns:a16="http://schemas.microsoft.com/office/drawing/2014/main" id="{E0D18C62-DD72-4038-2D08-1295192290D9}"/>
            </a:ext>
            <a:ext uri="{147F2762-F138-4A5C-976F-8EAC2B608ADB}">
              <a16:predDERef xmlns:a16="http://schemas.microsoft.com/office/drawing/2014/main" pred="{6B3B5FBD-B6FA-7B39-B632-64BACFE7CE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79</xdr:col>
      <xdr:colOff>9525</xdr:colOff>
      <xdr:row>159</xdr:row>
      <xdr:rowOff>85725</xdr:rowOff>
    </xdr:from>
    <xdr:to>
      <xdr:col>89</xdr:col>
      <xdr:colOff>532342</xdr:colOff>
      <xdr:row>180</xdr:row>
      <xdr:rowOff>117475</xdr:rowOff>
    </xdr:to>
    <xdr:graphicFrame macro="">
      <xdr:nvGraphicFramePr>
        <xdr:cNvPr id="29" name="Gráfico 28">
          <a:extLst>
            <a:ext uri="{FF2B5EF4-FFF2-40B4-BE49-F238E27FC236}">
              <a16:creationId xmlns:a16="http://schemas.microsoft.com/office/drawing/2014/main" id="{928FED14-EFAA-E731-2DEA-031B8FE51A51}"/>
            </a:ext>
            <a:ext uri="{147F2762-F138-4A5C-976F-8EAC2B608ADB}">
              <a16:predDERef xmlns:a16="http://schemas.microsoft.com/office/drawing/2014/main" pred="{E0D18C62-DD72-4038-2D08-1295192290D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78</xdr:col>
      <xdr:colOff>238125</xdr:colOff>
      <xdr:row>141</xdr:row>
      <xdr:rowOff>133350</xdr:rowOff>
    </xdr:from>
    <xdr:to>
      <xdr:col>89</xdr:col>
      <xdr:colOff>151342</xdr:colOff>
      <xdr:row>162</xdr:row>
      <xdr:rowOff>165100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BF5CB908-464F-F98A-87B8-BF833C153E5B}"/>
            </a:ext>
            <a:ext uri="{147F2762-F138-4A5C-976F-8EAC2B608ADB}">
              <a16:predDERef xmlns:a16="http://schemas.microsoft.com/office/drawing/2014/main" pred="{928FED14-EFAA-E731-2DEA-031B8FE51A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94</xdr:col>
      <xdr:colOff>123825</xdr:colOff>
      <xdr:row>176</xdr:row>
      <xdr:rowOff>142875</xdr:rowOff>
    </xdr:from>
    <xdr:to>
      <xdr:col>105</xdr:col>
      <xdr:colOff>37042</xdr:colOff>
      <xdr:row>197</xdr:row>
      <xdr:rowOff>174625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A6299CD5-2CE4-34B6-9F47-33EC14BA9DE2}"/>
            </a:ext>
            <a:ext uri="{147F2762-F138-4A5C-976F-8EAC2B608ADB}">
              <a16:predDERef xmlns:a16="http://schemas.microsoft.com/office/drawing/2014/main" pred="{BF5CB908-464F-F98A-87B8-BF833C153E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96</xdr:col>
      <xdr:colOff>428625</xdr:colOff>
      <xdr:row>152</xdr:row>
      <xdr:rowOff>47625</xdr:rowOff>
    </xdr:from>
    <xdr:to>
      <xdr:col>107</xdr:col>
      <xdr:colOff>341842</xdr:colOff>
      <xdr:row>173</xdr:row>
      <xdr:rowOff>79375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77A27DF9-9B62-92CD-ACAB-602E1BD042BF}"/>
            </a:ext>
            <a:ext uri="{147F2762-F138-4A5C-976F-8EAC2B608ADB}">
              <a16:predDERef xmlns:a16="http://schemas.microsoft.com/office/drawing/2014/main" pred="{A6299CD5-2CE4-34B6-9F47-33EC14BA9DE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113</xdr:col>
      <xdr:colOff>47625</xdr:colOff>
      <xdr:row>176</xdr:row>
      <xdr:rowOff>171450</xdr:rowOff>
    </xdr:from>
    <xdr:to>
      <xdr:col>123</xdr:col>
      <xdr:colOff>570442</xdr:colOff>
      <xdr:row>198</xdr:row>
      <xdr:rowOff>22225</xdr:rowOff>
    </xdr:to>
    <xdr:graphicFrame macro="">
      <xdr:nvGraphicFramePr>
        <xdr:cNvPr id="33" name="Gráfico 32">
          <a:extLst>
            <a:ext uri="{FF2B5EF4-FFF2-40B4-BE49-F238E27FC236}">
              <a16:creationId xmlns:a16="http://schemas.microsoft.com/office/drawing/2014/main" id="{E42F08E1-4271-373A-9CA7-D162E007964B}"/>
            </a:ext>
            <a:ext uri="{147F2762-F138-4A5C-976F-8EAC2B608ADB}">
              <a16:predDERef xmlns:a16="http://schemas.microsoft.com/office/drawing/2014/main" pred="{77A27DF9-9B62-92CD-ACAB-602E1BD042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113</xdr:col>
      <xdr:colOff>38100</xdr:colOff>
      <xdr:row>152</xdr:row>
      <xdr:rowOff>28575</xdr:rowOff>
    </xdr:from>
    <xdr:to>
      <xdr:col>123</xdr:col>
      <xdr:colOff>560917</xdr:colOff>
      <xdr:row>173</xdr:row>
      <xdr:rowOff>60325</xdr:rowOff>
    </xdr:to>
    <xdr:graphicFrame macro="">
      <xdr:nvGraphicFramePr>
        <xdr:cNvPr id="34" name="Gráfico 33">
          <a:extLst>
            <a:ext uri="{FF2B5EF4-FFF2-40B4-BE49-F238E27FC236}">
              <a16:creationId xmlns:a16="http://schemas.microsoft.com/office/drawing/2014/main" id="{BC168220-690E-8FBC-8691-EB13D771F7D5}"/>
            </a:ext>
            <a:ext uri="{147F2762-F138-4A5C-976F-8EAC2B608ADB}">
              <a16:predDERef xmlns:a16="http://schemas.microsoft.com/office/drawing/2014/main" pred="{E42F08E1-4271-373A-9CA7-D162E007964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143</xdr:col>
      <xdr:colOff>85725</xdr:colOff>
      <xdr:row>151</xdr:row>
      <xdr:rowOff>142875</xdr:rowOff>
    </xdr:from>
    <xdr:to>
      <xdr:col>153</xdr:col>
      <xdr:colOff>608542</xdr:colOff>
      <xdr:row>172</xdr:row>
      <xdr:rowOff>174625</xdr:rowOff>
    </xdr:to>
    <xdr:graphicFrame macro="">
      <xdr:nvGraphicFramePr>
        <xdr:cNvPr id="35" name="Gráfico 34">
          <a:extLst>
            <a:ext uri="{FF2B5EF4-FFF2-40B4-BE49-F238E27FC236}">
              <a16:creationId xmlns:a16="http://schemas.microsoft.com/office/drawing/2014/main" id="{94BFADC0-6B7C-E3A2-F296-4CC8F8EAD4C6}"/>
            </a:ext>
            <a:ext uri="{147F2762-F138-4A5C-976F-8EAC2B608ADB}">
              <a16:predDERef xmlns:a16="http://schemas.microsoft.com/office/drawing/2014/main" pred="{BC168220-690E-8FBC-8691-EB13D771F7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57</xdr:col>
      <xdr:colOff>609600</xdr:colOff>
      <xdr:row>140</xdr:row>
      <xdr:rowOff>171450</xdr:rowOff>
    </xdr:from>
    <xdr:to>
      <xdr:col>66</xdr:col>
      <xdr:colOff>227542</xdr:colOff>
      <xdr:row>162</xdr:row>
      <xdr:rowOff>22225</xdr:rowOff>
    </xdr:to>
    <xdr:graphicFrame macro="">
      <xdr:nvGraphicFramePr>
        <xdr:cNvPr id="37" name="Gráfico 36">
          <a:extLst>
            <a:ext uri="{FF2B5EF4-FFF2-40B4-BE49-F238E27FC236}">
              <a16:creationId xmlns:a16="http://schemas.microsoft.com/office/drawing/2014/main" id="{D653872A-8A1C-A201-91F3-AB5427D09847}"/>
            </a:ext>
            <a:ext uri="{147F2762-F138-4A5C-976F-8EAC2B608ADB}">
              <a16:predDERef xmlns:a16="http://schemas.microsoft.com/office/drawing/2014/main" pred="{94BFADC0-6B7C-E3A2-F296-4CC8F8EAD4C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49</xdr:col>
      <xdr:colOff>599017</xdr:colOff>
      <xdr:row>24</xdr:row>
      <xdr:rowOff>173566</xdr:rowOff>
    </xdr:from>
    <xdr:to>
      <xdr:col>55</xdr:col>
      <xdr:colOff>254000</xdr:colOff>
      <xdr:row>31</xdr:row>
      <xdr:rowOff>163285</xdr:rowOff>
    </xdr:to>
    <xdr:graphicFrame macro="">
      <xdr:nvGraphicFramePr>
        <xdr:cNvPr id="194" name="Gráfico 7">
          <a:extLst>
            <a:ext uri="{FF2B5EF4-FFF2-40B4-BE49-F238E27FC236}">
              <a16:creationId xmlns:a16="http://schemas.microsoft.com/office/drawing/2014/main" id="{641BB73A-0746-F95B-7EC3-AFFFC88F403B}"/>
            </a:ext>
            <a:ext uri="{147F2762-F138-4A5C-976F-8EAC2B608ADB}">
              <a16:predDERef xmlns:a16="http://schemas.microsoft.com/office/drawing/2014/main" pred="{D653872A-8A1C-A201-91F3-AB5427D0984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111</xdr:col>
      <xdr:colOff>514350</xdr:colOff>
      <xdr:row>52</xdr:row>
      <xdr:rowOff>161925</xdr:rowOff>
    </xdr:from>
    <xdr:to>
      <xdr:col>122</xdr:col>
      <xdr:colOff>427567</xdr:colOff>
      <xdr:row>73</xdr:row>
      <xdr:rowOff>174625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EC71A464-B4B9-4CEB-A1DA-9C23713CD7AB}"/>
            </a:ext>
            <a:ext uri="{147F2762-F138-4A5C-976F-8EAC2B608ADB}">
              <a16:predDERef xmlns:a16="http://schemas.microsoft.com/office/drawing/2014/main" pred="{641BB73A-0746-F95B-7EC3-AFFFC88F403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>
    <xdr:from>
      <xdr:col>31</xdr:col>
      <xdr:colOff>666750</xdr:colOff>
      <xdr:row>127</xdr:row>
      <xdr:rowOff>47625</xdr:rowOff>
    </xdr:from>
    <xdr:to>
      <xdr:col>42</xdr:col>
      <xdr:colOff>141817</xdr:colOff>
      <xdr:row>148</xdr:row>
      <xdr:rowOff>79375</xdr:rowOff>
    </xdr:to>
    <xdr:graphicFrame macro="">
      <xdr:nvGraphicFramePr>
        <xdr:cNvPr id="24" name="Gráfico 23">
          <a:extLst>
            <a:ext uri="{FF2B5EF4-FFF2-40B4-BE49-F238E27FC236}">
              <a16:creationId xmlns:a16="http://schemas.microsoft.com/office/drawing/2014/main" id="{F1A45DFF-2F35-44A3-AB0E-2E55146949A5}"/>
            </a:ext>
            <a:ext uri="{147F2762-F138-4A5C-976F-8EAC2B608ADB}">
              <a16:predDERef xmlns:a16="http://schemas.microsoft.com/office/drawing/2014/main" pred="{EC71A464-B4B9-4CEB-A1DA-9C23713CD7A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5"/>
        </a:graphicData>
      </a:graphic>
    </xdr:graphicFrame>
    <xdr:clientData/>
  </xdr:twoCellAnchor>
  <xdr:twoCellAnchor>
    <xdr:from>
      <xdr:col>40</xdr:col>
      <xdr:colOff>495300</xdr:colOff>
      <xdr:row>118</xdr:row>
      <xdr:rowOff>38100</xdr:rowOff>
    </xdr:from>
    <xdr:to>
      <xdr:col>51</xdr:col>
      <xdr:colOff>408517</xdr:colOff>
      <xdr:row>139</xdr:row>
      <xdr:rowOff>69850</xdr:rowOff>
    </xdr:to>
    <xdr:graphicFrame macro="">
      <xdr:nvGraphicFramePr>
        <xdr:cNvPr id="71" name="Gráfico 37">
          <a:extLst>
            <a:ext uri="{FF2B5EF4-FFF2-40B4-BE49-F238E27FC236}">
              <a16:creationId xmlns:a16="http://schemas.microsoft.com/office/drawing/2014/main" id="{460CC314-6B63-4883-997C-B2EC21E75B5C}"/>
            </a:ext>
            <a:ext uri="{147F2762-F138-4A5C-976F-8EAC2B608ADB}">
              <a16:predDERef xmlns:a16="http://schemas.microsoft.com/office/drawing/2014/main" pred="{2CC206F0-921A-4EB5-9CD6-C4BC2CEA1A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6"/>
        </a:graphicData>
      </a:graphic>
    </xdr:graphicFrame>
    <xdr:clientData/>
  </xdr:twoCellAnchor>
  <xdr:twoCellAnchor>
    <xdr:from>
      <xdr:col>60</xdr:col>
      <xdr:colOff>171450</xdr:colOff>
      <xdr:row>116</xdr:row>
      <xdr:rowOff>171450</xdr:rowOff>
    </xdr:from>
    <xdr:to>
      <xdr:col>70</xdr:col>
      <xdr:colOff>37042</xdr:colOff>
      <xdr:row>138</xdr:row>
      <xdr:rowOff>22225</xdr:rowOff>
    </xdr:to>
    <xdr:graphicFrame macro="">
      <xdr:nvGraphicFramePr>
        <xdr:cNvPr id="109" name="Chart 58">
          <a:extLst>
            <a:ext uri="{FF2B5EF4-FFF2-40B4-BE49-F238E27FC236}">
              <a16:creationId xmlns:a16="http://schemas.microsoft.com/office/drawing/2014/main" id="{EE0CE883-BE12-4491-9842-B65CBD0C964B}"/>
            </a:ext>
            <a:ext uri="{147F2762-F138-4A5C-976F-8EAC2B608ADB}">
              <a16:predDERef xmlns:a16="http://schemas.microsoft.com/office/drawing/2014/main" pred="{460CC314-6B63-4883-997C-B2EC21E75B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7"/>
        </a:graphicData>
      </a:graphic>
    </xdr:graphicFrame>
    <xdr:clientData/>
  </xdr:twoCellAnchor>
  <xdr:twoCellAnchor>
    <xdr:from>
      <xdr:col>53</xdr:col>
      <xdr:colOff>114300</xdr:colOff>
      <xdr:row>110</xdr:row>
      <xdr:rowOff>152400</xdr:rowOff>
    </xdr:from>
    <xdr:to>
      <xdr:col>62</xdr:col>
      <xdr:colOff>227542</xdr:colOff>
      <xdr:row>132</xdr:row>
      <xdr:rowOff>3175</xdr:rowOff>
    </xdr:to>
    <xdr:graphicFrame macro="">
      <xdr:nvGraphicFramePr>
        <xdr:cNvPr id="125" name="Chart 49">
          <a:extLst>
            <a:ext uri="{FF2B5EF4-FFF2-40B4-BE49-F238E27FC236}">
              <a16:creationId xmlns:a16="http://schemas.microsoft.com/office/drawing/2014/main" id="{28DB88C2-C8CB-41A3-A0AE-73A1D30F3762}"/>
            </a:ext>
            <a:ext uri="{147F2762-F138-4A5C-976F-8EAC2B608ADB}">
              <a16:predDERef xmlns:a16="http://schemas.microsoft.com/office/drawing/2014/main" pred="{EE0CE883-BE12-4491-9842-B65CBD0C964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8"/>
        </a:graphicData>
      </a:graphic>
    </xdr:graphicFrame>
    <xdr:clientData/>
  </xdr:twoCellAnchor>
  <xdr:twoCellAnchor>
    <xdr:from>
      <xdr:col>62</xdr:col>
      <xdr:colOff>381001</xdr:colOff>
      <xdr:row>63</xdr:row>
      <xdr:rowOff>179916</xdr:rowOff>
    </xdr:from>
    <xdr:to>
      <xdr:col>69</xdr:col>
      <xdr:colOff>455083</xdr:colOff>
      <xdr:row>79</xdr:row>
      <xdr:rowOff>158750</xdr:rowOff>
    </xdr:to>
    <xdr:graphicFrame macro="">
      <xdr:nvGraphicFramePr>
        <xdr:cNvPr id="178" name="Gráfico 1">
          <a:extLst>
            <a:ext uri="{FF2B5EF4-FFF2-40B4-BE49-F238E27FC236}">
              <a16:creationId xmlns:a16="http://schemas.microsoft.com/office/drawing/2014/main" id="{2EE74661-FBFA-4AED-928C-431C0E9FF329}"/>
            </a:ext>
            <a:ext uri="{147F2762-F138-4A5C-976F-8EAC2B608ADB}">
              <a16:predDERef xmlns:a16="http://schemas.microsoft.com/office/drawing/2014/main" pred="{02905A22-3C2F-3CC5-C679-0FEE6E11725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twoCellAnchor>
  <xdr:twoCellAnchor>
    <xdr:from>
      <xdr:col>57</xdr:col>
      <xdr:colOff>10584</xdr:colOff>
      <xdr:row>63</xdr:row>
      <xdr:rowOff>179917</xdr:rowOff>
    </xdr:from>
    <xdr:to>
      <xdr:col>62</xdr:col>
      <xdr:colOff>370416</xdr:colOff>
      <xdr:row>79</xdr:row>
      <xdr:rowOff>169333</xdr:rowOff>
    </xdr:to>
    <xdr:graphicFrame macro="">
      <xdr:nvGraphicFramePr>
        <xdr:cNvPr id="174" name="Gráfico 1">
          <a:extLst>
            <a:ext uri="{FF2B5EF4-FFF2-40B4-BE49-F238E27FC236}">
              <a16:creationId xmlns:a16="http://schemas.microsoft.com/office/drawing/2014/main" id="{8507854F-DB16-455D-88D9-936C4D4D4BBF}"/>
            </a:ext>
            <a:ext uri="{147F2762-F138-4A5C-976F-8EAC2B608ADB}">
              <a16:predDERef xmlns:a16="http://schemas.microsoft.com/office/drawing/2014/main" pred="{2EE74661-FBFA-4AED-928C-431C0E9FF3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0"/>
        </a:graphicData>
      </a:graphic>
    </xdr:graphicFrame>
    <xdr:clientData/>
  </xdr:twoCellAnchor>
  <xdr:twoCellAnchor>
    <xdr:from>
      <xdr:col>47</xdr:col>
      <xdr:colOff>550333</xdr:colOff>
      <xdr:row>63</xdr:row>
      <xdr:rowOff>190499</xdr:rowOff>
    </xdr:from>
    <xdr:to>
      <xdr:col>57</xdr:col>
      <xdr:colOff>10583</xdr:colOff>
      <xdr:row>80</xdr:row>
      <xdr:rowOff>0</xdr:rowOff>
    </xdr:to>
    <xdr:graphicFrame macro="">
      <xdr:nvGraphicFramePr>
        <xdr:cNvPr id="159" name="Gráfico 1">
          <a:extLst>
            <a:ext uri="{FF2B5EF4-FFF2-40B4-BE49-F238E27FC236}">
              <a16:creationId xmlns:a16="http://schemas.microsoft.com/office/drawing/2014/main" id="{59045D01-8A3C-49EA-89AD-84E6C76C1A62}"/>
            </a:ext>
            <a:ext uri="{147F2762-F138-4A5C-976F-8EAC2B608ADB}">
              <a16:predDERef xmlns:a16="http://schemas.microsoft.com/office/drawing/2014/main" pred="{037ED8CA-13D8-90C4-51A1-94D2B8AC88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1"/>
        </a:graphicData>
      </a:graphic>
    </xdr:graphicFrame>
    <xdr:clientData/>
  </xdr:twoCellAnchor>
  <xdr:twoCellAnchor>
    <xdr:from>
      <xdr:col>47</xdr:col>
      <xdr:colOff>592665</xdr:colOff>
      <xdr:row>81</xdr:row>
      <xdr:rowOff>105834</xdr:rowOff>
    </xdr:from>
    <xdr:to>
      <xdr:col>56</xdr:col>
      <xdr:colOff>328082</xdr:colOff>
      <xdr:row>98</xdr:row>
      <xdr:rowOff>63500</xdr:rowOff>
    </xdr:to>
    <xdr:graphicFrame macro="">
      <xdr:nvGraphicFramePr>
        <xdr:cNvPr id="181" name="Gráfico 6">
          <a:extLst>
            <a:ext uri="{FF2B5EF4-FFF2-40B4-BE49-F238E27FC236}">
              <a16:creationId xmlns:a16="http://schemas.microsoft.com/office/drawing/2014/main" id="{8A2830B9-0F09-4570-B7FB-D8A21C2F8BEA}"/>
            </a:ext>
            <a:ext uri="{147F2762-F138-4A5C-976F-8EAC2B608ADB}">
              <a16:predDERef xmlns:a16="http://schemas.microsoft.com/office/drawing/2014/main" pred="{F815AB92-55EF-CAA1-70A9-3034A698DC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2"/>
        </a:graphicData>
      </a:graphic>
    </xdr:graphicFrame>
    <xdr:clientData/>
  </xdr:twoCellAnchor>
  <xdr:twoCellAnchor>
    <xdr:from>
      <xdr:col>56</xdr:col>
      <xdr:colOff>338667</xdr:colOff>
      <xdr:row>81</xdr:row>
      <xdr:rowOff>116417</xdr:rowOff>
    </xdr:from>
    <xdr:to>
      <xdr:col>62</xdr:col>
      <xdr:colOff>486833</xdr:colOff>
      <xdr:row>98</xdr:row>
      <xdr:rowOff>42333</xdr:rowOff>
    </xdr:to>
    <xdr:graphicFrame macro="">
      <xdr:nvGraphicFramePr>
        <xdr:cNvPr id="185" name="Gráfico 2">
          <a:extLst>
            <a:ext uri="{FF2B5EF4-FFF2-40B4-BE49-F238E27FC236}">
              <a16:creationId xmlns:a16="http://schemas.microsoft.com/office/drawing/2014/main" id="{3661ED67-C55E-4807-8A45-40396FCC6969}"/>
            </a:ext>
            <a:ext uri="{147F2762-F138-4A5C-976F-8EAC2B608ADB}">
              <a16:predDERef xmlns:a16="http://schemas.microsoft.com/office/drawing/2014/main" pred="{B9747772-00D4-7AAA-319E-DB08791B9D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3"/>
        </a:graphicData>
      </a:graphic>
    </xdr:graphicFrame>
    <xdr:clientData/>
  </xdr:twoCellAnchor>
  <xdr:twoCellAnchor>
    <xdr:from>
      <xdr:col>63</xdr:col>
      <xdr:colOff>210607</xdr:colOff>
      <xdr:row>82</xdr:row>
      <xdr:rowOff>39158</xdr:rowOff>
    </xdr:from>
    <xdr:to>
      <xdr:col>70</xdr:col>
      <xdr:colOff>83607</xdr:colOff>
      <xdr:row>98</xdr:row>
      <xdr:rowOff>156633</xdr:rowOff>
    </xdr:to>
    <xdr:graphicFrame macro="">
      <xdr:nvGraphicFramePr>
        <xdr:cNvPr id="196" name="Gráfico 3">
          <a:extLst>
            <a:ext uri="{FF2B5EF4-FFF2-40B4-BE49-F238E27FC236}">
              <a16:creationId xmlns:a16="http://schemas.microsoft.com/office/drawing/2014/main" id="{15C0F70E-77FE-460E-8B4E-9F8755725922}"/>
            </a:ext>
            <a:ext uri="{147F2762-F138-4A5C-976F-8EAC2B608ADB}">
              <a16:predDERef xmlns:a16="http://schemas.microsoft.com/office/drawing/2014/main" pred="{3661ED67-C55E-4807-8A45-40396FCC696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4"/>
        </a:graphicData>
      </a:graphic>
    </xdr:graphicFrame>
    <xdr:clientData/>
  </xdr:twoCellAnchor>
  <xdr:twoCellAnchor>
    <xdr:from>
      <xdr:col>26</xdr:col>
      <xdr:colOff>0</xdr:colOff>
      <xdr:row>125</xdr:row>
      <xdr:rowOff>0</xdr:rowOff>
    </xdr:from>
    <xdr:to>
      <xdr:col>35</xdr:col>
      <xdr:colOff>360892</xdr:colOff>
      <xdr:row>146</xdr:row>
      <xdr:rowOff>31750</xdr:rowOff>
    </xdr:to>
    <xdr:graphicFrame macro="">
      <xdr:nvGraphicFramePr>
        <xdr:cNvPr id="14" name="Gráfico 13">
          <a:extLst>
            <a:ext uri="{FF2B5EF4-FFF2-40B4-BE49-F238E27FC236}">
              <a16:creationId xmlns:a16="http://schemas.microsoft.com/office/drawing/2014/main" id="{655F494E-5049-4B55-9645-70C0E8011923}"/>
            </a:ext>
            <a:ext uri="{147F2762-F138-4A5C-976F-8EAC2B608ADB}">
              <a16:predDERef xmlns:a16="http://schemas.microsoft.com/office/drawing/2014/main" pred="{15C0F70E-77FE-460E-8B4E-9F875572592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5"/>
        </a:graphicData>
      </a:graphic>
    </xdr:graphicFrame>
    <xdr:clientData/>
  </xdr:twoCellAnchor>
  <xdr:twoCellAnchor>
    <xdr:from>
      <xdr:col>26</xdr:col>
      <xdr:colOff>644072</xdr:colOff>
      <xdr:row>49</xdr:row>
      <xdr:rowOff>54428</xdr:rowOff>
    </xdr:from>
    <xdr:to>
      <xdr:col>33</xdr:col>
      <xdr:colOff>72572</xdr:colOff>
      <xdr:row>64</xdr:row>
      <xdr:rowOff>58057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888D9C9-1182-4A7D-835F-4ECF284DC7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6"/>
        </a:graphicData>
      </a:graphic>
    </xdr:graphicFrame>
    <xdr:clientData/>
  </xdr:twoCellAnchor>
  <xdr:twoCellAnchor>
    <xdr:from>
      <xdr:col>35</xdr:col>
      <xdr:colOff>117929</xdr:colOff>
      <xdr:row>49</xdr:row>
      <xdr:rowOff>72571</xdr:rowOff>
    </xdr:from>
    <xdr:to>
      <xdr:col>42</xdr:col>
      <xdr:colOff>272143</xdr:colOff>
      <xdr:row>64</xdr:row>
      <xdr:rowOff>76200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AC62AC5-64BF-4F41-8586-C52FE67A92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7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18836</xdr:colOff>
      <xdr:row>14</xdr:row>
      <xdr:rowOff>78013</xdr:rowOff>
    </xdr:from>
    <xdr:to>
      <xdr:col>4</xdr:col>
      <xdr:colOff>1505858</xdr:colOff>
      <xdr:row>33</xdr:row>
      <xdr:rowOff>18143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827361-FB1D-BB31-36DC-6327E2563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36" y="2618013"/>
          <a:ext cx="4680165" cy="3659416"/>
        </a:xfrm>
        <a:prstGeom prst="rect">
          <a:avLst/>
        </a:prstGeom>
      </xdr:spPr>
    </xdr:pic>
    <xdr:clientData/>
  </xdr:twoCellAnchor>
  <xdr:twoCellAnchor editAs="oneCell">
    <xdr:from>
      <xdr:col>9</xdr:col>
      <xdr:colOff>535214</xdr:colOff>
      <xdr:row>14</xdr:row>
      <xdr:rowOff>108857</xdr:rowOff>
    </xdr:from>
    <xdr:to>
      <xdr:col>20</xdr:col>
      <xdr:colOff>431367</xdr:colOff>
      <xdr:row>31</xdr:row>
      <xdr:rowOff>132240</xdr:rowOff>
    </xdr:to>
    <xdr:pic>
      <xdr:nvPicPr>
        <xdr:cNvPr id="2" name="Picture 6">
          <a:extLst>
            <a:ext uri="{FF2B5EF4-FFF2-40B4-BE49-F238E27FC236}">
              <a16:creationId xmlns:a16="http://schemas.microsoft.com/office/drawing/2014/main" id="{18E29B3A-D316-496F-87A1-63A6E8CA5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78143" y="2648857"/>
          <a:ext cx="8096724" cy="3436962"/>
        </a:xfrm>
        <a:prstGeom prst="rect">
          <a:avLst/>
        </a:prstGeom>
      </xdr:spPr>
    </xdr:pic>
    <xdr:clientData/>
  </xdr:twoCellAnchor>
  <xdr:twoCellAnchor>
    <xdr:from>
      <xdr:col>24</xdr:col>
      <xdr:colOff>589643</xdr:colOff>
      <xdr:row>28</xdr:row>
      <xdr:rowOff>0</xdr:rowOff>
    </xdr:from>
    <xdr:to>
      <xdr:col>26</xdr:col>
      <xdr:colOff>299358</xdr:colOff>
      <xdr:row>33</xdr:row>
      <xdr:rowOff>54428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CBFFF777-79C2-44D6-8D89-A23463CFB1BD}"/>
            </a:ext>
          </a:extLst>
        </xdr:cNvPr>
        <xdr:cNvSpPr/>
      </xdr:nvSpPr>
      <xdr:spPr>
        <a:xfrm>
          <a:off x="20465143" y="5080000"/>
          <a:ext cx="925286" cy="961571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24</xdr:col>
      <xdr:colOff>535214</xdr:colOff>
      <xdr:row>32</xdr:row>
      <xdr:rowOff>172357</xdr:rowOff>
    </xdr:from>
    <xdr:to>
      <xdr:col>25</xdr:col>
      <xdr:colOff>81643</xdr:colOff>
      <xdr:row>33</xdr:row>
      <xdr:rowOff>72571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1F5D2058-9B84-4B8E-8A19-CCCED6220D0C}"/>
            </a:ext>
          </a:extLst>
        </xdr:cNvPr>
        <xdr:cNvSpPr/>
      </xdr:nvSpPr>
      <xdr:spPr>
        <a:xfrm>
          <a:off x="20410714" y="5978071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24</xdr:col>
      <xdr:colOff>533399</xdr:colOff>
      <xdr:row>27</xdr:row>
      <xdr:rowOff>134258</xdr:rowOff>
    </xdr:from>
    <xdr:to>
      <xdr:col>25</xdr:col>
      <xdr:colOff>79828</xdr:colOff>
      <xdr:row>28</xdr:row>
      <xdr:rowOff>34472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DEE4584E-0B72-4CA1-82FF-49F7AEC02B91}"/>
            </a:ext>
          </a:extLst>
        </xdr:cNvPr>
        <xdr:cNvSpPr/>
      </xdr:nvSpPr>
      <xdr:spPr>
        <a:xfrm>
          <a:off x="20408899" y="5032829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24</xdr:col>
      <xdr:colOff>513442</xdr:colOff>
      <xdr:row>29</xdr:row>
      <xdr:rowOff>87085</xdr:rowOff>
    </xdr:from>
    <xdr:to>
      <xdr:col>25</xdr:col>
      <xdr:colOff>59871</xdr:colOff>
      <xdr:row>29</xdr:row>
      <xdr:rowOff>168728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B02C46C4-A7C2-4637-BB97-45B8DA6FB781}"/>
            </a:ext>
          </a:extLst>
        </xdr:cNvPr>
        <xdr:cNvSpPr/>
      </xdr:nvSpPr>
      <xdr:spPr>
        <a:xfrm>
          <a:off x="20388942" y="5348514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24</xdr:col>
      <xdr:colOff>538842</xdr:colOff>
      <xdr:row>31</xdr:row>
      <xdr:rowOff>48985</xdr:rowOff>
    </xdr:from>
    <xdr:to>
      <xdr:col>25</xdr:col>
      <xdr:colOff>85271</xdr:colOff>
      <xdr:row>31</xdr:row>
      <xdr:rowOff>130628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id="{E567A90A-19F9-447D-8889-17479B03EFAB}"/>
            </a:ext>
          </a:extLst>
        </xdr:cNvPr>
        <xdr:cNvSpPr/>
      </xdr:nvSpPr>
      <xdr:spPr>
        <a:xfrm>
          <a:off x="20414342" y="5673271"/>
          <a:ext cx="154215" cy="816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21</xdr:col>
      <xdr:colOff>208643</xdr:colOff>
      <xdr:row>28</xdr:row>
      <xdr:rowOff>99785</xdr:rowOff>
    </xdr:from>
    <xdr:to>
      <xdr:col>24</xdr:col>
      <xdr:colOff>387048</xdr:colOff>
      <xdr:row>32</xdr:row>
      <xdr:rowOff>24190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32D27DB0-6FF4-4064-95CF-F7EF26E49835}"/>
            </a:ext>
          </a:extLst>
        </xdr:cNvPr>
        <xdr:cNvSpPr txBox="1"/>
      </xdr:nvSpPr>
      <xdr:spPr>
        <a:xfrm>
          <a:off x="18260786" y="5179785"/>
          <a:ext cx="2001762" cy="6501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PT" sz="1100" baseline="0"/>
            <a:t>3 espaçamentos</a:t>
          </a:r>
        </a:p>
        <a:p>
          <a:pPr algn="ctr"/>
          <a:endParaRPr lang="pt-PT" sz="1100" baseline="0"/>
        </a:p>
        <a:p>
          <a:pPr algn="ctr"/>
          <a:r>
            <a:rPr lang="pt-PT" sz="1100" baseline="0"/>
            <a:t>3* (1,5*29,6) </a:t>
          </a:r>
          <a:endParaRPr lang="pt-PT" sz="1100"/>
        </a:p>
      </xdr:txBody>
    </xdr:sp>
    <xdr:clientData/>
  </xdr:twoCellAnchor>
  <xdr:twoCellAnchor>
    <xdr:from>
      <xdr:col>24</xdr:col>
      <xdr:colOff>208642</xdr:colOff>
      <xdr:row>23</xdr:row>
      <xdr:rowOff>36286</xdr:rowOff>
    </xdr:from>
    <xdr:to>
      <xdr:col>27</xdr:col>
      <xdr:colOff>393095</xdr:colOff>
      <xdr:row>26</xdr:row>
      <xdr:rowOff>163286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B8F63E3A-4E21-41AA-953B-0B909E8B4299}"/>
            </a:ext>
          </a:extLst>
        </xdr:cNvPr>
        <xdr:cNvSpPr txBox="1"/>
      </xdr:nvSpPr>
      <xdr:spPr>
        <a:xfrm>
          <a:off x="20084142" y="4209143"/>
          <a:ext cx="2007810" cy="67128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PT" sz="1100" baseline="0"/>
            <a:t>2 espaçamentos</a:t>
          </a:r>
        </a:p>
        <a:p>
          <a:pPr algn="ctr"/>
          <a:endParaRPr lang="pt-PT" sz="1100" baseline="0"/>
        </a:p>
        <a:p>
          <a:pPr algn="ctr"/>
          <a:r>
            <a:rPr lang="pt-PT" sz="1100" baseline="0"/>
            <a:t>2* (8*29,6) </a:t>
          </a:r>
          <a:endParaRPr lang="pt-PT" sz="1100"/>
        </a:p>
      </xdr:txBody>
    </xdr:sp>
    <xdr:clientData/>
  </xdr:twoCellAnchor>
  <xdr:twoCellAnchor>
    <xdr:from>
      <xdr:col>67</xdr:col>
      <xdr:colOff>228599</xdr:colOff>
      <xdr:row>56</xdr:row>
      <xdr:rowOff>142874</xdr:rowOff>
    </xdr:from>
    <xdr:to>
      <xdr:col>77</xdr:col>
      <xdr:colOff>136071</xdr:colOff>
      <xdr:row>77</xdr:row>
      <xdr:rowOff>63500</xdr:rowOff>
    </xdr:to>
    <xdr:graphicFrame macro="">
      <xdr:nvGraphicFramePr>
        <xdr:cNvPr id="39" name="Gráfico 10">
          <a:extLst>
            <a:ext uri="{FF2B5EF4-FFF2-40B4-BE49-F238E27FC236}">
              <a16:creationId xmlns:a16="http://schemas.microsoft.com/office/drawing/2014/main" id="{C2CE4928-B650-E9CA-1AD4-900FF4DE1AEA}"/>
            </a:ext>
            <a:ext uri="{147F2762-F138-4A5C-976F-8EAC2B608ADB}">
              <a16:predDERef xmlns:a16="http://schemas.microsoft.com/office/drawing/2014/main" pred="{B8F63E3A-4E21-41AA-953B-0B909E8B42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41</xdr:col>
      <xdr:colOff>449036</xdr:colOff>
      <xdr:row>83</xdr:row>
      <xdr:rowOff>43544</xdr:rowOff>
    </xdr:from>
    <xdr:to>
      <xdr:col>49</xdr:col>
      <xdr:colOff>158750</xdr:colOff>
      <xdr:row>98</xdr:row>
      <xdr:rowOff>65315</xdr:rowOff>
    </xdr:to>
    <xdr:graphicFrame macro="">
      <xdr:nvGraphicFramePr>
        <xdr:cNvPr id="14" name="Chart 12">
          <a:extLst>
            <a:ext uri="{FF2B5EF4-FFF2-40B4-BE49-F238E27FC236}">
              <a16:creationId xmlns:a16="http://schemas.microsoft.com/office/drawing/2014/main" id="{8CB168B4-87EE-95AE-C6F0-7EC1ACE94C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80</xdr:col>
      <xdr:colOff>449036</xdr:colOff>
      <xdr:row>113</xdr:row>
      <xdr:rowOff>52613</xdr:rowOff>
    </xdr:from>
    <xdr:to>
      <xdr:col>88</xdr:col>
      <xdr:colOff>158751</xdr:colOff>
      <xdr:row>128</xdr:row>
      <xdr:rowOff>74385</xdr:rowOff>
    </xdr:to>
    <xdr:graphicFrame macro="">
      <xdr:nvGraphicFramePr>
        <xdr:cNvPr id="41" name="Chart 13">
          <a:extLst>
            <a:ext uri="{FF2B5EF4-FFF2-40B4-BE49-F238E27FC236}">
              <a16:creationId xmlns:a16="http://schemas.microsoft.com/office/drawing/2014/main" id="{14160CA0-2C7F-5387-CD28-592EF637BBB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55</xdr:col>
      <xdr:colOff>4536</xdr:colOff>
      <xdr:row>83</xdr:row>
      <xdr:rowOff>70757</xdr:rowOff>
    </xdr:from>
    <xdr:to>
      <xdr:col>61</xdr:col>
      <xdr:colOff>616857</xdr:colOff>
      <xdr:row>101</xdr:row>
      <xdr:rowOff>81643</xdr:rowOff>
    </xdr:to>
    <xdr:graphicFrame macro="">
      <xdr:nvGraphicFramePr>
        <xdr:cNvPr id="59" name="Chart 14">
          <a:extLst>
            <a:ext uri="{FF2B5EF4-FFF2-40B4-BE49-F238E27FC236}">
              <a16:creationId xmlns:a16="http://schemas.microsoft.com/office/drawing/2014/main" id="{7DE344B0-5668-D463-B335-C0236C18984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d.docs.live.net/161a0e03d3a08d1a/Ambiente%20de%20Trabalho/ES/Data%20Analysis%20new.xlsx" TargetMode="External"/><Relationship Id="rId1" Type="http://schemas.openxmlformats.org/officeDocument/2006/relationships/externalLinkPath" Target="/161a0e03d3a08d1a/Ambiente%20de%20Trabalho/ES/Data%20Analysis%20new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ão Miguel"/>
      <sheetName val="% Renewable São Miguel"/>
      <sheetName val="Faial"/>
      <sheetName val="% Renewable Faial"/>
      <sheetName val="Flores"/>
      <sheetName val="% Renewable Flores"/>
    </sheetNames>
    <sheetDataSet>
      <sheetData sheetId="0" refreshError="1">
        <row r="21">
          <cell r="AX21">
            <v>8671910</v>
          </cell>
          <cell r="AY21">
            <v>16710946</v>
          </cell>
          <cell r="AZ21">
            <v>19702134</v>
          </cell>
          <cell r="BA21">
            <v>19185884</v>
          </cell>
          <cell r="BB21">
            <v>17557252</v>
          </cell>
          <cell r="BC21">
            <v>15986398</v>
          </cell>
          <cell r="BD21">
            <v>16963695</v>
          </cell>
          <cell r="BE21">
            <v>17697885</v>
          </cell>
          <cell r="BF21">
            <v>16093436</v>
          </cell>
          <cell r="BG21">
            <v>17330720</v>
          </cell>
          <cell r="BH21">
            <v>16071911</v>
          </cell>
          <cell r="BI21">
            <v>16751495</v>
          </cell>
        </row>
        <row r="25">
          <cell r="AX25">
            <v>1421319</v>
          </cell>
          <cell r="AY25">
            <v>841215</v>
          </cell>
          <cell r="AZ25">
            <v>1798380</v>
          </cell>
          <cell r="BA25">
            <v>1587546</v>
          </cell>
          <cell r="BB25">
            <v>992737</v>
          </cell>
          <cell r="BC25">
            <v>1171682</v>
          </cell>
          <cell r="BD25">
            <v>1390251</v>
          </cell>
          <cell r="BE25">
            <v>743937</v>
          </cell>
          <cell r="BF25">
            <v>1131514</v>
          </cell>
          <cell r="BG25">
            <v>1875007</v>
          </cell>
          <cell r="BH25">
            <v>1524237</v>
          </cell>
          <cell r="BI25">
            <v>2158945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redehidro.ambiente.azores.gov.pt/default.asp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mdpi.com/1996-1073/14/14/4336" TargetMode="External"/><Relationship Id="rId2" Type="http://schemas.openxmlformats.org/officeDocument/2006/relationships/hyperlink" Target="https://www.osti.gov/servlets/purl/1468092" TargetMode="External"/><Relationship Id="rId1" Type="http://schemas.openxmlformats.org/officeDocument/2006/relationships/hyperlink" Target="https://www.europe-solarstore.com/batteries/battery-type/lithium-ion.html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://siaram.azores.gov.pt/energia/energia-eolica/_texto.html" TargetMode="External"/><Relationship Id="rId2" Type="http://schemas.openxmlformats.org/officeDocument/2006/relationships/hyperlink" Target="https://en.wind-turbine-models.com/turbines/531-enercon-e-44" TargetMode="External"/><Relationship Id="rId1" Type="http://schemas.openxmlformats.org/officeDocument/2006/relationships/hyperlink" Target="https://redehidro.ambiente.azores.gov.pt/default.as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8B8339-E0AA-4073-B312-9FAE6B5A0C8D}">
  <sheetPr>
    <tabColor theme="4"/>
  </sheetPr>
  <dimension ref="A1:ID252"/>
  <sheetViews>
    <sheetView topLeftCell="AE59" zoomScale="70" zoomScaleNormal="70" workbookViewId="0">
      <selection activeCell="AL75" sqref="AL75"/>
    </sheetView>
  </sheetViews>
  <sheetFormatPr defaultRowHeight="14.5" x14ac:dyDescent="0.35"/>
  <cols>
    <col min="2" max="2" width="18.453125" customWidth="1"/>
    <col min="3" max="3" width="22.7265625" bestFit="1" customWidth="1"/>
    <col min="4" max="4" width="15.81640625" customWidth="1"/>
    <col min="5" max="9" width="12.26953125" bestFit="1" customWidth="1"/>
    <col min="10" max="38" width="13.54296875" bestFit="1" customWidth="1"/>
    <col min="39" max="39" width="22.26953125" customWidth="1"/>
    <col min="40" max="40" width="13.54296875" bestFit="1" customWidth="1"/>
    <col min="43" max="43" width="11.08984375" customWidth="1"/>
    <col min="45" max="45" width="10.81640625" customWidth="1"/>
    <col min="48" max="48" width="6.81640625" bestFit="1" customWidth="1"/>
    <col min="49" max="49" width="26.1796875" bestFit="1" customWidth="1"/>
    <col min="50" max="50" width="13.7265625" bestFit="1" customWidth="1"/>
    <col min="51" max="61" width="11.7265625" bestFit="1" customWidth="1"/>
    <col min="62" max="62" width="10.81640625" bestFit="1" customWidth="1"/>
    <col min="64" max="64" width="9.1796875" style="22"/>
    <col min="69" max="69" width="11.453125" customWidth="1"/>
    <col min="71" max="71" width="15.1796875" customWidth="1"/>
    <col min="74" max="74" width="13.26953125" bestFit="1" customWidth="1"/>
    <col min="75" max="75" width="15.7265625" bestFit="1" customWidth="1"/>
    <col min="76" max="76" width="11.7265625" customWidth="1"/>
    <col min="77" max="77" width="16" customWidth="1"/>
    <col min="78" max="78" width="11.7265625" customWidth="1"/>
    <col min="79" max="79" width="14.90625" customWidth="1"/>
    <col min="80" max="80" width="18.1796875" customWidth="1"/>
    <col min="92" max="92" width="14.81640625" bestFit="1" customWidth="1"/>
    <col min="96" max="96" width="17" customWidth="1"/>
    <col min="103" max="103" width="14.453125" bestFit="1" customWidth="1"/>
    <col min="107" max="107" width="11.7265625" bestFit="1" customWidth="1"/>
    <col min="111" max="111" width="12.54296875" bestFit="1" customWidth="1"/>
    <col min="119" max="119" width="10.453125" bestFit="1" customWidth="1"/>
    <col min="120" max="120" width="11.453125" bestFit="1" customWidth="1"/>
    <col min="125" max="125" width="12" bestFit="1" customWidth="1"/>
    <col min="128" max="128" width="12" bestFit="1" customWidth="1"/>
    <col min="129" max="129" width="11.81640625" customWidth="1"/>
  </cols>
  <sheetData>
    <row r="1" spans="1:64" ht="15" thickBot="1" x14ac:dyDescent="0.4">
      <c r="A1" s="160" t="s">
        <v>0</v>
      </c>
      <c r="B1" s="161"/>
      <c r="C1" s="164" t="s">
        <v>1</v>
      </c>
      <c r="D1" s="158"/>
      <c r="E1" s="158"/>
      <c r="F1" s="158"/>
      <c r="G1" s="158"/>
      <c r="H1" s="158"/>
      <c r="I1" s="158"/>
      <c r="J1" s="158"/>
      <c r="K1" s="158"/>
      <c r="L1" s="158"/>
      <c r="M1" s="158"/>
      <c r="N1" s="158"/>
      <c r="O1" s="158"/>
      <c r="P1" s="158"/>
      <c r="Q1" s="158"/>
      <c r="R1" s="158"/>
      <c r="S1" s="158"/>
      <c r="T1" s="158"/>
      <c r="U1" s="158"/>
      <c r="V1" s="158"/>
      <c r="W1" s="158"/>
      <c r="X1" s="158"/>
      <c r="Y1" s="158"/>
      <c r="Z1" s="158"/>
      <c r="AA1" s="158"/>
      <c r="AB1" s="158"/>
      <c r="AC1" s="158"/>
      <c r="AD1" s="158"/>
      <c r="AE1" s="158"/>
      <c r="AF1" s="158"/>
      <c r="AG1" s="158"/>
      <c r="AH1" s="158"/>
      <c r="AI1" s="158"/>
      <c r="AJ1" s="158"/>
      <c r="AK1" s="158"/>
      <c r="AL1" s="158"/>
      <c r="AM1" s="158"/>
      <c r="AN1" s="3"/>
      <c r="AS1" s="180" t="s">
        <v>2</v>
      </c>
      <c r="AU1" s="160" t="s">
        <v>0</v>
      </c>
      <c r="AV1" s="161"/>
      <c r="AW1" s="164" t="s">
        <v>1</v>
      </c>
      <c r="AX1" s="158"/>
      <c r="AY1" s="158"/>
      <c r="AZ1" s="158"/>
      <c r="BA1" s="158"/>
      <c r="BB1" s="158"/>
      <c r="BC1" s="158"/>
      <c r="BD1" s="158"/>
      <c r="BE1" s="158"/>
      <c r="BF1" s="158"/>
      <c r="BG1" s="158"/>
      <c r="BH1" s="158"/>
      <c r="BI1" s="3"/>
      <c r="BL1" s="23" t="s">
        <v>3</v>
      </c>
    </row>
    <row r="2" spans="1:64" ht="14.5" customHeight="1" thickBot="1" x14ac:dyDescent="0.4">
      <c r="A2" s="162"/>
      <c r="B2" s="163"/>
      <c r="C2" s="8"/>
      <c r="D2" s="178" t="s">
        <v>4</v>
      </c>
      <c r="E2" s="178" t="s">
        <v>5</v>
      </c>
      <c r="F2" s="178" t="s">
        <v>6</v>
      </c>
      <c r="G2" s="178" t="s">
        <v>7</v>
      </c>
      <c r="H2" s="178" t="s">
        <v>8</v>
      </c>
      <c r="I2" s="178" t="s">
        <v>9</v>
      </c>
      <c r="J2" s="178" t="s">
        <v>10</v>
      </c>
      <c r="K2" s="178" t="s">
        <v>11</v>
      </c>
      <c r="L2" s="178" t="s">
        <v>12</v>
      </c>
      <c r="M2" s="178" t="s">
        <v>13</v>
      </c>
      <c r="N2" s="178" t="s">
        <v>14</v>
      </c>
      <c r="O2" s="178" t="s">
        <v>15</v>
      </c>
      <c r="P2" s="178" t="s">
        <v>16</v>
      </c>
      <c r="Q2" s="178" t="s">
        <v>17</v>
      </c>
      <c r="R2" s="178" t="s">
        <v>18</v>
      </c>
      <c r="S2" s="178" t="s">
        <v>19</v>
      </c>
      <c r="T2" s="178" t="s">
        <v>20</v>
      </c>
      <c r="U2" s="178" t="s">
        <v>21</v>
      </c>
      <c r="V2" s="178" t="s">
        <v>22</v>
      </c>
      <c r="W2" s="178" t="s">
        <v>23</v>
      </c>
      <c r="X2" s="178" t="s">
        <v>24</v>
      </c>
      <c r="Y2" s="178" t="s">
        <v>25</v>
      </c>
      <c r="Z2" s="178" t="s">
        <v>26</v>
      </c>
      <c r="AA2" s="178" t="s">
        <v>27</v>
      </c>
      <c r="AB2" s="178" t="s">
        <v>28</v>
      </c>
      <c r="AC2" s="178" t="s">
        <v>29</v>
      </c>
      <c r="AD2" s="178" t="s">
        <v>30</v>
      </c>
      <c r="AE2" s="178" t="s">
        <v>31</v>
      </c>
      <c r="AF2" s="178" t="s">
        <v>32</v>
      </c>
      <c r="AG2" s="178" t="s">
        <v>33</v>
      </c>
      <c r="AH2" s="178" t="s">
        <v>34</v>
      </c>
      <c r="AI2" s="178" t="s">
        <v>35</v>
      </c>
      <c r="AJ2" s="178" t="s">
        <v>36</v>
      </c>
      <c r="AK2" s="178" t="s">
        <v>37</v>
      </c>
      <c r="AL2" s="178" t="s">
        <v>38</v>
      </c>
      <c r="AM2" s="178" t="s">
        <v>39</v>
      </c>
      <c r="AN2" s="178" t="s">
        <v>40</v>
      </c>
      <c r="AS2" s="180"/>
      <c r="AU2" s="162"/>
      <c r="AV2" s="163"/>
      <c r="AW2" s="8"/>
      <c r="AX2" s="165" t="s">
        <v>39</v>
      </c>
      <c r="AY2" s="166"/>
      <c r="AZ2" s="166"/>
      <c r="BA2" s="166"/>
      <c r="BB2" s="166"/>
      <c r="BC2" s="166"/>
      <c r="BD2" s="166"/>
      <c r="BE2" s="166"/>
      <c r="BF2" s="166"/>
      <c r="BG2" s="166"/>
      <c r="BH2" s="166"/>
      <c r="BI2" s="167"/>
    </row>
    <row r="3" spans="1:64" ht="15" thickBot="1" x14ac:dyDescent="0.4">
      <c r="A3" s="162"/>
      <c r="B3" s="163"/>
      <c r="C3" s="8"/>
      <c r="D3" s="179"/>
      <c r="E3" s="179"/>
      <c r="F3" s="179"/>
      <c r="G3" s="179"/>
      <c r="H3" s="179"/>
      <c r="I3" s="179"/>
      <c r="J3" s="179"/>
      <c r="K3" s="179"/>
      <c r="L3" s="179"/>
      <c r="M3" s="179"/>
      <c r="N3" s="179"/>
      <c r="O3" s="179"/>
      <c r="P3" s="179"/>
      <c r="Q3" s="179"/>
      <c r="R3" s="179"/>
      <c r="S3" s="179"/>
      <c r="T3" s="179"/>
      <c r="U3" s="179"/>
      <c r="V3" s="179"/>
      <c r="W3" s="179"/>
      <c r="X3" s="179"/>
      <c r="Y3" s="179"/>
      <c r="Z3" s="179"/>
      <c r="AA3" s="179"/>
      <c r="AB3" s="179"/>
      <c r="AC3" s="179"/>
      <c r="AD3" s="179"/>
      <c r="AE3" s="179"/>
      <c r="AF3" s="179"/>
      <c r="AG3" s="179"/>
      <c r="AH3" s="179"/>
      <c r="AI3" s="179"/>
      <c r="AJ3" s="179"/>
      <c r="AK3" s="179"/>
      <c r="AL3" s="179"/>
      <c r="AM3" s="179"/>
      <c r="AN3" s="179"/>
      <c r="AS3" s="180"/>
      <c r="AU3" s="162"/>
      <c r="AV3" s="163"/>
      <c r="AW3" s="8"/>
      <c r="AX3" s="5" t="s">
        <v>41</v>
      </c>
      <c r="AY3" s="5" t="s">
        <v>42</v>
      </c>
      <c r="AZ3" s="5" t="s">
        <v>43</v>
      </c>
      <c r="BA3" s="5" t="s">
        <v>44</v>
      </c>
      <c r="BB3" s="5" t="s">
        <v>45</v>
      </c>
      <c r="BC3" s="5" t="s">
        <v>46</v>
      </c>
      <c r="BD3" s="5" t="s">
        <v>47</v>
      </c>
      <c r="BE3" s="5" t="s">
        <v>48</v>
      </c>
      <c r="BF3" s="5" t="s">
        <v>49</v>
      </c>
      <c r="BG3" s="5" t="s">
        <v>50</v>
      </c>
      <c r="BH3" s="5" t="s">
        <v>51</v>
      </c>
      <c r="BI3" s="5" t="s">
        <v>52</v>
      </c>
    </row>
    <row r="4" spans="1:64" ht="15" thickBot="1" x14ac:dyDescent="0.4">
      <c r="A4" s="4"/>
      <c r="B4" s="168" t="s">
        <v>53</v>
      </c>
      <c r="C4" s="5" t="s">
        <v>54</v>
      </c>
      <c r="D4" s="1">
        <v>0</v>
      </c>
      <c r="E4" s="1">
        <v>0</v>
      </c>
      <c r="F4" s="1">
        <v>0</v>
      </c>
      <c r="G4" s="1">
        <v>0</v>
      </c>
      <c r="H4" s="1">
        <v>0</v>
      </c>
      <c r="I4" s="1">
        <v>0</v>
      </c>
      <c r="J4" s="1">
        <v>0</v>
      </c>
      <c r="K4" s="1">
        <v>0</v>
      </c>
      <c r="L4" s="1">
        <v>0</v>
      </c>
      <c r="M4" s="1">
        <v>12636</v>
      </c>
      <c r="N4" s="1">
        <v>42</v>
      </c>
      <c r="O4" s="1">
        <v>114</v>
      </c>
      <c r="P4" s="1">
        <v>0</v>
      </c>
      <c r="Q4" s="1">
        <v>0</v>
      </c>
      <c r="R4" s="1">
        <v>60</v>
      </c>
      <c r="S4" s="1">
        <v>0</v>
      </c>
      <c r="T4" s="1">
        <v>0</v>
      </c>
      <c r="U4" s="1">
        <v>231785</v>
      </c>
      <c r="V4" s="1">
        <v>483975</v>
      </c>
      <c r="W4" s="1">
        <v>383588</v>
      </c>
      <c r="X4" s="1">
        <v>201720</v>
      </c>
      <c r="Y4" s="1">
        <v>29998</v>
      </c>
      <c r="Z4" s="1">
        <v>115657</v>
      </c>
      <c r="AA4" s="1">
        <v>255200</v>
      </c>
      <c r="AB4" s="1">
        <v>324337</v>
      </c>
      <c r="AC4" s="1">
        <v>190215</v>
      </c>
      <c r="AD4" s="1">
        <v>116133</v>
      </c>
      <c r="AE4" s="1">
        <v>145464</v>
      </c>
      <c r="AF4" s="1">
        <v>22939</v>
      </c>
      <c r="AG4" s="1">
        <v>26303</v>
      </c>
      <c r="AH4" s="1">
        <v>314961</v>
      </c>
      <c r="AI4" s="1">
        <v>479234</v>
      </c>
      <c r="AJ4" s="1">
        <v>489660</v>
      </c>
      <c r="AK4" s="1">
        <v>702467</v>
      </c>
      <c r="AL4" s="1">
        <v>652991</v>
      </c>
      <c r="AM4" s="1">
        <v>683247</v>
      </c>
      <c r="AN4" s="1">
        <v>986113</v>
      </c>
      <c r="AP4" s="5" t="s">
        <v>54</v>
      </c>
      <c r="AS4" s="180"/>
      <c r="AU4" s="4"/>
      <c r="AV4" s="168" t="s">
        <v>53</v>
      </c>
      <c r="AW4" s="5" t="s">
        <v>55</v>
      </c>
      <c r="AX4" s="1">
        <v>60386</v>
      </c>
      <c r="AY4" s="1">
        <v>55929</v>
      </c>
      <c r="AZ4" s="1">
        <v>52688</v>
      </c>
      <c r="BA4" s="1">
        <v>49906</v>
      </c>
      <c r="BB4" s="1">
        <v>64992</v>
      </c>
      <c r="BC4" s="1">
        <v>50366</v>
      </c>
      <c r="BD4" s="1">
        <v>42376</v>
      </c>
      <c r="BE4" s="1">
        <v>23706</v>
      </c>
      <c r="BF4" s="1">
        <v>28905</v>
      </c>
      <c r="BG4" s="1">
        <v>68849</v>
      </c>
      <c r="BH4" s="1">
        <v>104287</v>
      </c>
      <c r="BI4" s="1">
        <v>80857</v>
      </c>
    </row>
    <row r="5" spans="1:64" ht="15" thickBot="1" x14ac:dyDescent="0.4">
      <c r="A5" s="4"/>
      <c r="B5" s="169"/>
      <c r="C5" s="5" t="s">
        <v>56</v>
      </c>
      <c r="D5" s="2" t="s">
        <v>57</v>
      </c>
      <c r="E5" s="2" t="s">
        <v>57</v>
      </c>
      <c r="F5" s="2" t="s">
        <v>57</v>
      </c>
      <c r="G5" s="2" t="s">
        <v>57</v>
      </c>
      <c r="H5" s="2" t="s">
        <v>57</v>
      </c>
      <c r="I5" s="2" t="s">
        <v>57</v>
      </c>
      <c r="J5" s="2" t="s">
        <v>57</v>
      </c>
      <c r="K5" s="2" t="s">
        <v>57</v>
      </c>
      <c r="L5" s="2" t="s">
        <v>57</v>
      </c>
      <c r="M5" s="2" t="s">
        <v>57</v>
      </c>
      <c r="N5" s="2" t="s">
        <v>57</v>
      </c>
      <c r="O5" s="2" t="s">
        <v>57</v>
      </c>
      <c r="P5" s="2" t="s">
        <v>57</v>
      </c>
      <c r="Q5" s="2" t="s">
        <v>57</v>
      </c>
      <c r="R5" s="2" t="s">
        <v>57</v>
      </c>
      <c r="S5" s="2" t="s">
        <v>57</v>
      </c>
      <c r="T5" s="2" t="s">
        <v>57</v>
      </c>
      <c r="U5" s="2" t="s">
        <v>57</v>
      </c>
      <c r="V5" s="2" t="s">
        <v>57</v>
      </c>
      <c r="W5" s="2" t="s">
        <v>57</v>
      </c>
      <c r="X5" s="2" t="s">
        <v>57</v>
      </c>
      <c r="Y5" s="2" t="s">
        <v>57</v>
      </c>
      <c r="Z5" s="2" t="s">
        <v>57</v>
      </c>
      <c r="AA5" s="2" t="s">
        <v>57</v>
      </c>
      <c r="AB5" s="2" t="s">
        <v>57</v>
      </c>
      <c r="AC5" s="2" t="s">
        <v>57</v>
      </c>
      <c r="AD5" s="2" t="s">
        <v>57</v>
      </c>
      <c r="AE5" s="1">
        <v>0</v>
      </c>
      <c r="AF5" s="1">
        <v>0</v>
      </c>
      <c r="AG5" s="1">
        <v>0</v>
      </c>
      <c r="AH5" s="1">
        <v>0</v>
      </c>
      <c r="AI5" s="1">
        <v>0</v>
      </c>
      <c r="AJ5" s="1">
        <v>0</v>
      </c>
      <c r="AK5" s="1">
        <v>0</v>
      </c>
      <c r="AL5" s="1">
        <v>0</v>
      </c>
      <c r="AM5" s="1">
        <v>0</v>
      </c>
      <c r="AN5" s="1">
        <v>0</v>
      </c>
      <c r="AP5" s="5" t="s">
        <v>56</v>
      </c>
      <c r="AS5" s="180"/>
      <c r="AU5" s="4"/>
      <c r="AV5" s="169"/>
      <c r="AW5" s="5" t="s">
        <v>58</v>
      </c>
      <c r="AX5" s="1">
        <v>0</v>
      </c>
      <c r="AY5" s="1">
        <v>0</v>
      </c>
      <c r="AZ5" s="1">
        <v>0</v>
      </c>
      <c r="BA5" s="1">
        <v>0</v>
      </c>
      <c r="BB5" s="1">
        <v>0</v>
      </c>
      <c r="BC5" s="1">
        <v>0</v>
      </c>
      <c r="BD5" s="1">
        <v>0</v>
      </c>
      <c r="BE5" s="1">
        <v>0</v>
      </c>
      <c r="BF5" s="1">
        <v>0</v>
      </c>
      <c r="BG5" s="1">
        <v>0</v>
      </c>
      <c r="BH5" s="1">
        <v>0</v>
      </c>
      <c r="BI5" s="1">
        <v>0</v>
      </c>
    </row>
    <row r="6" spans="1:64" ht="15" thickBot="1" x14ac:dyDescent="0.4">
      <c r="A6" s="4"/>
      <c r="B6" s="169"/>
      <c r="C6" s="5" t="s">
        <v>59</v>
      </c>
      <c r="D6" s="1">
        <v>0</v>
      </c>
      <c r="E6" s="1">
        <v>0</v>
      </c>
      <c r="F6" s="1">
        <v>0</v>
      </c>
      <c r="G6" s="1">
        <v>0</v>
      </c>
      <c r="H6" s="1">
        <v>0</v>
      </c>
      <c r="I6" s="1">
        <v>0</v>
      </c>
      <c r="J6" s="1">
        <v>0</v>
      </c>
      <c r="K6" s="1">
        <v>0</v>
      </c>
      <c r="L6" s="1">
        <v>0</v>
      </c>
      <c r="M6" s="1">
        <v>0</v>
      </c>
      <c r="N6" s="1">
        <v>0</v>
      </c>
      <c r="O6" s="2" t="s">
        <v>57</v>
      </c>
      <c r="P6" s="1">
        <v>0</v>
      </c>
      <c r="Q6" s="1">
        <v>0</v>
      </c>
      <c r="R6" s="1">
        <v>0</v>
      </c>
      <c r="S6" s="1">
        <v>0</v>
      </c>
      <c r="T6" s="1">
        <v>0</v>
      </c>
      <c r="U6" s="1">
        <v>0</v>
      </c>
      <c r="V6" s="1">
        <v>0</v>
      </c>
      <c r="W6" s="1">
        <v>0</v>
      </c>
      <c r="X6" s="1">
        <v>0</v>
      </c>
      <c r="Y6" s="1">
        <v>0</v>
      </c>
      <c r="Z6" s="2" t="s">
        <v>57</v>
      </c>
      <c r="AA6" s="2" t="s">
        <v>57</v>
      </c>
      <c r="AB6" s="1">
        <v>285890</v>
      </c>
      <c r="AC6" s="1">
        <v>21158560</v>
      </c>
      <c r="AD6" s="1">
        <v>21456086</v>
      </c>
      <c r="AE6" s="1">
        <v>21735780</v>
      </c>
      <c r="AF6" s="1">
        <v>16897400</v>
      </c>
      <c r="AG6" s="1">
        <v>19662324</v>
      </c>
      <c r="AH6" s="1">
        <v>13913245</v>
      </c>
      <c r="AI6" s="1">
        <v>18463689</v>
      </c>
      <c r="AJ6" s="1">
        <v>15948831</v>
      </c>
      <c r="AK6" s="1">
        <v>15028812</v>
      </c>
      <c r="AL6" s="1">
        <v>17980572</v>
      </c>
      <c r="AM6" s="1">
        <v>16635558</v>
      </c>
      <c r="AN6" s="1">
        <v>10005238</v>
      </c>
      <c r="AP6" s="5" t="s">
        <v>60</v>
      </c>
      <c r="AS6" s="180"/>
      <c r="AU6" s="4"/>
      <c r="AV6" s="169"/>
      <c r="AW6" s="5" t="s">
        <v>59</v>
      </c>
      <c r="AX6" s="1">
        <v>1421198</v>
      </c>
      <c r="AY6" s="1">
        <v>841152</v>
      </c>
      <c r="AZ6" s="1">
        <v>1798279</v>
      </c>
      <c r="BA6" s="1">
        <v>1587354</v>
      </c>
      <c r="BB6" s="1">
        <v>992666</v>
      </c>
      <c r="BC6" s="1">
        <v>1171584</v>
      </c>
      <c r="BD6" s="1">
        <v>1390157</v>
      </c>
      <c r="BE6" s="1">
        <v>743874</v>
      </c>
      <c r="BF6" s="1">
        <v>1131426</v>
      </c>
      <c r="BG6" s="1">
        <v>1874924</v>
      </c>
      <c r="BH6" s="1">
        <v>1524177</v>
      </c>
      <c r="BI6" s="1">
        <v>2158767</v>
      </c>
    </row>
    <row r="7" spans="1:64" ht="15" thickBot="1" x14ac:dyDescent="0.4">
      <c r="A7" s="4"/>
      <c r="B7" s="169"/>
      <c r="C7" s="5" t="s">
        <v>61</v>
      </c>
      <c r="D7" s="1">
        <v>105298810</v>
      </c>
      <c r="E7" s="1">
        <v>118789050</v>
      </c>
      <c r="F7" s="1">
        <v>132878180</v>
      </c>
      <c r="G7" s="1">
        <v>141632895</v>
      </c>
      <c r="H7" s="1">
        <v>148986090</v>
      </c>
      <c r="I7" s="1">
        <v>159028625</v>
      </c>
      <c r="J7" s="1">
        <v>165358030</v>
      </c>
      <c r="K7" s="1">
        <v>145353355</v>
      </c>
      <c r="L7" s="1">
        <v>151235960</v>
      </c>
      <c r="M7" s="1">
        <v>151806170</v>
      </c>
      <c r="N7" s="1">
        <v>162099435</v>
      </c>
      <c r="O7" s="1">
        <v>176745995</v>
      </c>
      <c r="P7" s="1">
        <v>162633915</v>
      </c>
      <c r="Q7" s="1">
        <v>186477095</v>
      </c>
      <c r="R7" s="1">
        <v>177842910</v>
      </c>
      <c r="S7" s="1">
        <v>213848786</v>
      </c>
      <c r="T7" s="1">
        <v>241434965</v>
      </c>
      <c r="U7" s="1">
        <v>279467335</v>
      </c>
      <c r="V7" s="1">
        <v>306752930</v>
      </c>
      <c r="W7" s="1">
        <v>307041130</v>
      </c>
      <c r="X7" s="1">
        <v>228271320</v>
      </c>
      <c r="Y7" s="1">
        <v>251053560</v>
      </c>
      <c r="Z7" s="1">
        <v>262939030</v>
      </c>
      <c r="AA7" s="1">
        <v>253862250</v>
      </c>
      <c r="AB7" s="1">
        <v>232273590</v>
      </c>
      <c r="AC7" s="1">
        <v>242230150</v>
      </c>
      <c r="AD7" s="1">
        <v>189569276</v>
      </c>
      <c r="AE7" s="1">
        <v>187457462</v>
      </c>
      <c r="AF7" s="1">
        <v>200872932</v>
      </c>
      <c r="AG7" s="1">
        <v>231804012</v>
      </c>
      <c r="AH7" s="1">
        <v>212080317</v>
      </c>
      <c r="AI7" s="1">
        <v>217993092</v>
      </c>
      <c r="AJ7" s="1">
        <v>238744042</v>
      </c>
      <c r="AK7" s="1">
        <v>218673814</v>
      </c>
      <c r="AL7" s="1">
        <v>271524327</v>
      </c>
      <c r="AM7" s="1">
        <v>261004610</v>
      </c>
      <c r="AN7" s="1">
        <v>170294085</v>
      </c>
      <c r="AP7" s="5" t="s">
        <v>62</v>
      </c>
      <c r="AS7" s="180"/>
      <c r="AU7" s="4"/>
      <c r="AV7" s="169"/>
      <c r="AW7" s="5" t="s">
        <v>61</v>
      </c>
      <c r="AX7" s="1">
        <v>29651409</v>
      </c>
      <c r="AY7" s="1">
        <v>17749504</v>
      </c>
      <c r="AZ7" s="1">
        <v>18181417</v>
      </c>
      <c r="BA7" s="1">
        <v>16837146</v>
      </c>
      <c r="BB7" s="1">
        <v>19964860</v>
      </c>
      <c r="BC7" s="1">
        <v>21197833</v>
      </c>
      <c r="BD7" s="1">
        <v>23423209</v>
      </c>
      <c r="BE7" s="1">
        <v>23825801</v>
      </c>
      <c r="BF7" s="1">
        <v>24717004</v>
      </c>
      <c r="BG7" s="1">
        <v>21520331</v>
      </c>
      <c r="BH7" s="1">
        <v>21492616</v>
      </c>
      <c r="BI7" s="1">
        <v>22443480</v>
      </c>
    </row>
    <row r="8" spans="1:64" ht="15" thickBot="1" x14ac:dyDescent="0.4">
      <c r="A8" s="4"/>
      <c r="B8" s="169"/>
      <c r="C8" s="5" t="s">
        <v>63</v>
      </c>
      <c r="D8" s="1">
        <v>6746800</v>
      </c>
      <c r="E8" s="1">
        <v>3923800</v>
      </c>
      <c r="F8" s="1">
        <v>2849800</v>
      </c>
      <c r="G8" s="1">
        <v>1701100</v>
      </c>
      <c r="H8" s="1">
        <v>727000</v>
      </c>
      <c r="I8" s="1">
        <v>3362600</v>
      </c>
      <c r="J8" s="1">
        <v>806400</v>
      </c>
      <c r="K8" s="1">
        <v>292100</v>
      </c>
      <c r="L8" s="1">
        <v>105700</v>
      </c>
      <c r="M8" s="1">
        <v>128700</v>
      </c>
      <c r="N8" s="1">
        <v>300000</v>
      </c>
      <c r="O8" s="1">
        <v>663400</v>
      </c>
      <c r="P8" s="1">
        <v>270900</v>
      </c>
      <c r="Q8" s="1">
        <v>791182</v>
      </c>
      <c r="R8" s="1">
        <v>674819</v>
      </c>
      <c r="S8" s="1">
        <v>227392</v>
      </c>
      <c r="T8" s="1">
        <v>83089</v>
      </c>
      <c r="U8" s="1">
        <v>95735</v>
      </c>
      <c r="V8" s="1">
        <v>144332</v>
      </c>
      <c r="W8" s="1">
        <v>107321</v>
      </c>
      <c r="X8" s="1">
        <v>109957</v>
      </c>
      <c r="Y8" s="1">
        <v>121914</v>
      </c>
      <c r="Z8" s="1">
        <v>91997</v>
      </c>
      <c r="AA8" s="1">
        <v>96478</v>
      </c>
      <c r="AB8" s="1">
        <v>85253</v>
      </c>
      <c r="AC8" s="1">
        <v>94863</v>
      </c>
      <c r="AD8" s="1">
        <v>80525</v>
      </c>
      <c r="AE8" s="1">
        <v>69856</v>
      </c>
      <c r="AF8" s="1">
        <v>75498</v>
      </c>
      <c r="AG8" s="1">
        <v>69710</v>
      </c>
      <c r="AH8" s="1">
        <v>70133</v>
      </c>
      <c r="AI8" s="1">
        <v>69450</v>
      </c>
      <c r="AJ8" s="1" t="s">
        <v>64</v>
      </c>
      <c r="AK8" s="1" t="s">
        <v>65</v>
      </c>
      <c r="AL8" s="1">
        <v>93026</v>
      </c>
      <c r="AM8" s="1">
        <v>73862</v>
      </c>
      <c r="AN8" s="1">
        <v>44348</v>
      </c>
      <c r="AP8" s="5" t="s">
        <v>66</v>
      </c>
      <c r="AS8" s="180"/>
      <c r="AU8" s="4"/>
      <c r="AV8" s="169"/>
      <c r="AW8" s="5" t="s">
        <v>63</v>
      </c>
      <c r="AX8" s="1">
        <v>6384</v>
      </c>
      <c r="AY8" s="1">
        <v>7731</v>
      </c>
      <c r="AZ8" s="1">
        <v>9164</v>
      </c>
      <c r="BA8" s="1">
        <v>5872</v>
      </c>
      <c r="BB8" s="1">
        <v>5775</v>
      </c>
      <c r="BC8" s="1">
        <v>3951</v>
      </c>
      <c r="BD8" s="1">
        <v>5330</v>
      </c>
      <c r="BE8" s="1">
        <v>3622</v>
      </c>
      <c r="BF8" s="1">
        <v>7223</v>
      </c>
      <c r="BG8" s="1">
        <v>5545</v>
      </c>
      <c r="BH8" s="1">
        <v>10050</v>
      </c>
      <c r="BI8" s="1">
        <v>3215</v>
      </c>
    </row>
    <row r="9" spans="1:64" ht="15" thickBot="1" x14ac:dyDescent="0.4">
      <c r="A9" s="4"/>
      <c r="B9" s="169"/>
      <c r="C9" s="5" t="s">
        <v>67</v>
      </c>
      <c r="D9" s="1">
        <v>1387200</v>
      </c>
      <c r="E9" s="1">
        <v>1900200</v>
      </c>
      <c r="F9" s="1">
        <v>0</v>
      </c>
      <c r="G9" s="1">
        <v>3696100</v>
      </c>
      <c r="H9" s="1">
        <v>5142100</v>
      </c>
      <c r="I9" s="1">
        <v>5028900</v>
      </c>
      <c r="J9" s="1">
        <v>3943200</v>
      </c>
      <c r="K9" s="1">
        <v>33439906</v>
      </c>
      <c r="L9" s="1">
        <v>37521600</v>
      </c>
      <c r="M9" s="1">
        <v>43624900</v>
      </c>
      <c r="N9" s="1">
        <v>46019300</v>
      </c>
      <c r="O9" s="1">
        <v>52104500</v>
      </c>
      <c r="P9" s="1">
        <v>79994700</v>
      </c>
      <c r="Q9" s="1">
        <v>79598100</v>
      </c>
      <c r="R9" s="1">
        <v>105288600</v>
      </c>
      <c r="S9" s="1">
        <v>95718600</v>
      </c>
      <c r="T9" s="1">
        <v>88870500</v>
      </c>
      <c r="U9" s="1">
        <v>83969620</v>
      </c>
      <c r="V9" s="1">
        <v>70668757</v>
      </c>
      <c r="W9" s="1">
        <v>83842259</v>
      </c>
      <c r="X9" s="1">
        <v>177519693</v>
      </c>
      <c r="Y9" s="1">
        <v>170280213</v>
      </c>
      <c r="Z9" s="1">
        <v>161721967</v>
      </c>
      <c r="AA9" s="1">
        <v>173551756</v>
      </c>
      <c r="AB9" s="1">
        <v>185630587</v>
      </c>
      <c r="AC9" s="1">
        <v>134086304</v>
      </c>
      <c r="AD9" s="1">
        <v>174266087</v>
      </c>
      <c r="AE9" s="1">
        <v>182870486</v>
      </c>
      <c r="AF9" s="1">
        <v>182043994</v>
      </c>
      <c r="AG9" s="1">
        <v>152430121</v>
      </c>
      <c r="AH9" s="1">
        <v>183180046</v>
      </c>
      <c r="AI9" s="1">
        <v>183552836</v>
      </c>
      <c r="AJ9" s="1">
        <v>167293111</v>
      </c>
      <c r="AK9" s="1">
        <v>169447687</v>
      </c>
      <c r="AL9" s="1">
        <v>132837312</v>
      </c>
      <c r="AM9" s="1">
        <v>153396385</v>
      </c>
      <c r="AN9" s="1">
        <v>111340996</v>
      </c>
      <c r="AP9" s="5" t="s">
        <v>68</v>
      </c>
      <c r="AS9" s="180"/>
      <c r="AU9" s="4"/>
      <c r="AV9" s="169"/>
      <c r="AW9" s="5" t="s">
        <v>67</v>
      </c>
      <c r="AX9" s="1">
        <v>4510788</v>
      </c>
      <c r="AY9" s="1">
        <v>13471776</v>
      </c>
      <c r="AZ9" s="1">
        <v>15285798</v>
      </c>
      <c r="BA9" s="1">
        <v>15057894</v>
      </c>
      <c r="BB9" s="1">
        <v>14069987</v>
      </c>
      <c r="BC9" s="1">
        <v>12371699</v>
      </c>
      <c r="BD9" s="1">
        <v>13177035</v>
      </c>
      <c r="BE9" s="1">
        <v>14675325</v>
      </c>
      <c r="BF9" s="1">
        <v>12902674</v>
      </c>
      <c r="BG9" s="1">
        <v>13488599</v>
      </c>
      <c r="BH9" s="1">
        <v>12336608</v>
      </c>
      <c r="BI9" s="1">
        <v>12048202</v>
      </c>
    </row>
    <row r="10" spans="1:64" ht="15" thickBot="1" x14ac:dyDescent="0.4">
      <c r="A10" s="4"/>
      <c r="B10" s="169"/>
      <c r="C10" s="5" t="s">
        <v>69</v>
      </c>
      <c r="D10" s="1">
        <v>12825070</v>
      </c>
      <c r="E10" s="1">
        <v>11018870</v>
      </c>
      <c r="F10" s="1">
        <v>10317930</v>
      </c>
      <c r="G10" s="1">
        <v>12188800</v>
      </c>
      <c r="H10" s="1">
        <v>17707184</v>
      </c>
      <c r="I10" s="1">
        <v>16046194</v>
      </c>
      <c r="J10" s="1">
        <v>19086180</v>
      </c>
      <c r="K10" s="1">
        <v>16461568</v>
      </c>
      <c r="L10" s="1">
        <v>16379572</v>
      </c>
      <c r="M10" s="1">
        <v>18511506</v>
      </c>
      <c r="N10" s="1">
        <v>14365044</v>
      </c>
      <c r="O10" s="1">
        <v>13961244</v>
      </c>
      <c r="P10" s="1">
        <v>18149240</v>
      </c>
      <c r="Q10" s="1">
        <v>14149318</v>
      </c>
      <c r="R10" s="1">
        <v>20838662</v>
      </c>
      <c r="S10" s="1">
        <v>20777284</v>
      </c>
      <c r="T10" s="1">
        <v>23439020</v>
      </c>
      <c r="U10" s="1">
        <v>22935230</v>
      </c>
      <c r="V10" s="1">
        <v>21826780</v>
      </c>
      <c r="W10" s="1">
        <v>21563530</v>
      </c>
      <c r="X10" s="1">
        <v>22772170</v>
      </c>
      <c r="Y10" s="1">
        <v>19440770</v>
      </c>
      <c r="Z10" s="1">
        <v>17538050</v>
      </c>
      <c r="AA10" s="1">
        <v>25606980</v>
      </c>
      <c r="AB10" s="1">
        <v>26978400</v>
      </c>
      <c r="AC10" s="1">
        <v>22947300</v>
      </c>
      <c r="AD10" s="1">
        <v>26445240</v>
      </c>
      <c r="AE10" s="1">
        <v>23012640</v>
      </c>
      <c r="AF10" s="1">
        <v>21386818</v>
      </c>
      <c r="AG10" s="1">
        <v>25804847</v>
      </c>
      <c r="AH10" s="1">
        <v>23878725</v>
      </c>
      <c r="AI10" s="1">
        <v>21783373</v>
      </c>
      <c r="AJ10" s="1">
        <v>23590765</v>
      </c>
      <c r="AK10" s="1">
        <v>23847833</v>
      </c>
      <c r="AL10" s="1">
        <v>26395463</v>
      </c>
      <c r="AM10" s="1">
        <v>27587900</v>
      </c>
      <c r="AN10" s="1">
        <v>15864281</v>
      </c>
      <c r="AP10" s="5" t="s">
        <v>70</v>
      </c>
      <c r="AS10" s="180"/>
      <c r="AU10" s="4"/>
      <c r="AV10" s="169"/>
      <c r="AW10" s="5" t="s">
        <v>69</v>
      </c>
      <c r="AX10" s="1">
        <v>2657377</v>
      </c>
      <c r="AY10" s="1">
        <v>2320466</v>
      </c>
      <c r="AZ10" s="1">
        <v>2534693</v>
      </c>
      <c r="BA10" s="1">
        <v>2446562</v>
      </c>
      <c r="BB10" s="1">
        <v>2384666</v>
      </c>
      <c r="BC10" s="1">
        <v>2349140</v>
      </c>
      <c r="BD10" s="1">
        <v>2300156</v>
      </c>
      <c r="BE10" s="1">
        <v>2207553</v>
      </c>
      <c r="BF10" s="1">
        <v>1990990</v>
      </c>
      <c r="BG10" s="1">
        <v>1863658</v>
      </c>
      <c r="BH10" s="1">
        <v>2087925</v>
      </c>
      <c r="BI10" s="1">
        <v>2444714</v>
      </c>
    </row>
    <row r="11" spans="1:64" ht="15" thickBot="1" x14ac:dyDescent="0.4">
      <c r="A11" s="4"/>
      <c r="B11" s="169"/>
      <c r="C11" s="5" t="s">
        <v>71</v>
      </c>
      <c r="D11" s="2" t="s">
        <v>57</v>
      </c>
      <c r="E11" s="2" t="s">
        <v>57</v>
      </c>
      <c r="F11" s="2" t="s">
        <v>57</v>
      </c>
      <c r="G11" s="2" t="s">
        <v>57</v>
      </c>
      <c r="H11" s="2" t="s">
        <v>57</v>
      </c>
      <c r="I11" s="2" t="s">
        <v>57</v>
      </c>
      <c r="J11" s="2" t="s">
        <v>57</v>
      </c>
      <c r="K11" s="2" t="s">
        <v>57</v>
      </c>
      <c r="L11" s="2" t="s">
        <v>57</v>
      </c>
      <c r="M11" s="2" t="s">
        <v>57</v>
      </c>
      <c r="N11" s="2" t="s">
        <v>57</v>
      </c>
      <c r="O11" s="2" t="s">
        <v>57</v>
      </c>
      <c r="P11" s="2" t="s">
        <v>57</v>
      </c>
      <c r="Q11" s="2" t="s">
        <v>57</v>
      </c>
      <c r="R11" s="2" t="s">
        <v>57</v>
      </c>
      <c r="S11" s="2" t="s">
        <v>57</v>
      </c>
      <c r="T11" s="2" t="s">
        <v>57</v>
      </c>
      <c r="U11" s="2" t="s">
        <v>57</v>
      </c>
      <c r="V11" s="2" t="s">
        <v>57</v>
      </c>
      <c r="W11" s="2" t="s">
        <v>57</v>
      </c>
      <c r="X11" s="2" t="s">
        <v>57</v>
      </c>
      <c r="Y11" s="2" t="s">
        <v>57</v>
      </c>
      <c r="Z11" s="2" t="s">
        <v>57</v>
      </c>
      <c r="AA11" s="2" t="s">
        <v>57</v>
      </c>
      <c r="AB11" s="2" t="s">
        <v>57</v>
      </c>
      <c r="AC11" s="1">
        <v>468</v>
      </c>
      <c r="AD11" s="1">
        <v>429</v>
      </c>
      <c r="AE11" s="1">
        <v>17045</v>
      </c>
      <c r="AF11" s="1">
        <v>526</v>
      </c>
      <c r="AG11" s="1">
        <v>573</v>
      </c>
      <c r="AH11" s="1">
        <v>1260</v>
      </c>
      <c r="AI11" s="1">
        <v>1205</v>
      </c>
      <c r="AJ11" s="1">
        <v>1238</v>
      </c>
      <c r="AK11" s="1">
        <v>987</v>
      </c>
      <c r="AL11" s="1">
        <v>1243</v>
      </c>
      <c r="AM11" s="1">
        <v>1212</v>
      </c>
      <c r="AN11" s="1">
        <v>771</v>
      </c>
      <c r="AP11" s="5" t="s">
        <v>72</v>
      </c>
      <c r="AS11" s="180"/>
      <c r="AU11" s="4"/>
      <c r="AV11" s="169"/>
      <c r="AW11" s="5" t="s">
        <v>71</v>
      </c>
      <c r="AX11" s="1">
        <v>121</v>
      </c>
      <c r="AY11" s="1">
        <v>63</v>
      </c>
      <c r="AZ11" s="1">
        <v>101</v>
      </c>
      <c r="BA11" s="1">
        <v>192</v>
      </c>
      <c r="BB11" s="1">
        <v>71</v>
      </c>
      <c r="BC11" s="1">
        <v>98</v>
      </c>
      <c r="BD11" s="1">
        <v>94</v>
      </c>
      <c r="BE11" s="1">
        <v>63</v>
      </c>
      <c r="BF11" s="1">
        <v>88</v>
      </c>
      <c r="BG11" s="1">
        <v>83</v>
      </c>
      <c r="BH11" s="1">
        <v>60</v>
      </c>
      <c r="BI11" s="1">
        <v>178</v>
      </c>
    </row>
    <row r="12" spans="1:64" ht="15" thickBot="1" x14ac:dyDescent="0.4">
      <c r="A12" s="4"/>
      <c r="B12" s="169"/>
      <c r="C12" s="5" t="s">
        <v>73</v>
      </c>
      <c r="D12" s="2" t="s">
        <v>57</v>
      </c>
      <c r="E12" s="2" t="s">
        <v>57</v>
      </c>
      <c r="F12" s="2" t="s">
        <v>57</v>
      </c>
      <c r="G12" s="2" t="s">
        <v>57</v>
      </c>
      <c r="H12" s="2" t="s">
        <v>57</v>
      </c>
      <c r="I12" s="2" t="s">
        <v>57</v>
      </c>
      <c r="J12" s="2" t="s">
        <v>57</v>
      </c>
      <c r="K12" s="2" t="s">
        <v>57</v>
      </c>
      <c r="L12" s="2" t="s">
        <v>57</v>
      </c>
      <c r="M12" s="2" t="s">
        <v>57</v>
      </c>
      <c r="N12" s="2" t="s">
        <v>57</v>
      </c>
      <c r="O12" s="2" t="s">
        <v>57</v>
      </c>
      <c r="P12" s="2" t="s">
        <v>57</v>
      </c>
      <c r="Q12" s="2" t="s">
        <v>57</v>
      </c>
      <c r="R12" s="2" t="s">
        <v>57</v>
      </c>
      <c r="S12" s="2" t="s">
        <v>57</v>
      </c>
      <c r="T12" s="2" t="s">
        <v>57</v>
      </c>
      <c r="U12" s="2" t="s">
        <v>57</v>
      </c>
      <c r="V12" s="2" t="s">
        <v>57</v>
      </c>
      <c r="W12" s="2" t="s">
        <v>57</v>
      </c>
      <c r="X12" s="2" t="s">
        <v>57</v>
      </c>
      <c r="Y12" s="2" t="s">
        <v>57</v>
      </c>
      <c r="Z12" s="2" t="s">
        <v>57</v>
      </c>
      <c r="AA12" s="2" t="s">
        <v>57</v>
      </c>
      <c r="AB12" s="1">
        <v>15634</v>
      </c>
      <c r="AC12" s="1">
        <v>20118</v>
      </c>
      <c r="AD12" s="1">
        <v>17241</v>
      </c>
      <c r="AE12" s="1">
        <v>550</v>
      </c>
      <c r="AF12" s="1">
        <v>17355</v>
      </c>
      <c r="AG12" s="1">
        <v>12259</v>
      </c>
      <c r="AH12" s="1">
        <v>16072</v>
      </c>
      <c r="AI12" s="1">
        <v>21248</v>
      </c>
      <c r="AJ12" s="1">
        <v>5294</v>
      </c>
      <c r="AK12" s="1">
        <v>21209</v>
      </c>
      <c r="AL12" s="1">
        <v>18629</v>
      </c>
      <c r="AM12" s="1">
        <v>26474</v>
      </c>
      <c r="AN12" s="1">
        <v>18721</v>
      </c>
      <c r="AP12" s="5" t="s">
        <v>74</v>
      </c>
      <c r="AS12" s="180"/>
      <c r="AU12" s="4"/>
      <c r="AV12" s="169"/>
      <c r="AW12" s="5" t="s">
        <v>73</v>
      </c>
      <c r="AX12" s="1">
        <v>1685</v>
      </c>
      <c r="AY12" s="1">
        <v>1831</v>
      </c>
      <c r="AZ12" s="1">
        <v>2329</v>
      </c>
      <c r="BA12" s="1">
        <v>2347</v>
      </c>
      <c r="BB12" s="1">
        <v>2638</v>
      </c>
      <c r="BC12" s="1">
        <v>2670</v>
      </c>
      <c r="BD12" s="1">
        <v>2769</v>
      </c>
      <c r="BE12" s="1">
        <v>2718</v>
      </c>
      <c r="BF12" s="1">
        <v>2429</v>
      </c>
      <c r="BG12" s="1">
        <v>2315</v>
      </c>
      <c r="BH12" s="1">
        <v>1331</v>
      </c>
      <c r="BI12" s="1">
        <v>1412</v>
      </c>
    </row>
    <row r="13" spans="1:64" ht="15" thickBot="1" x14ac:dyDescent="0.4">
      <c r="A13" s="4"/>
      <c r="B13" s="169"/>
      <c r="C13" s="5" t="s">
        <v>75</v>
      </c>
      <c r="D13" s="2" t="s">
        <v>57</v>
      </c>
      <c r="E13" s="2" t="s">
        <v>57</v>
      </c>
      <c r="F13" s="2" t="s">
        <v>57</v>
      </c>
      <c r="G13" s="2" t="s">
        <v>57</v>
      </c>
      <c r="H13" s="2" t="s">
        <v>57</v>
      </c>
      <c r="I13" s="2" t="s">
        <v>57</v>
      </c>
      <c r="J13" s="2" t="s">
        <v>57</v>
      </c>
      <c r="K13" s="2" t="s">
        <v>57</v>
      </c>
      <c r="L13" s="2" t="s">
        <v>57</v>
      </c>
      <c r="M13" s="2" t="s">
        <v>57</v>
      </c>
      <c r="N13" s="2" t="s">
        <v>57</v>
      </c>
      <c r="O13" s="2" t="s">
        <v>57</v>
      </c>
      <c r="P13" s="2" t="s">
        <v>57</v>
      </c>
      <c r="Q13" s="2" t="s">
        <v>57</v>
      </c>
      <c r="R13" s="2" t="s">
        <v>57</v>
      </c>
      <c r="S13" s="2" t="s">
        <v>57</v>
      </c>
      <c r="T13" s="2" t="s">
        <v>57</v>
      </c>
      <c r="U13" s="2" t="s">
        <v>57</v>
      </c>
      <c r="V13" s="2" t="s">
        <v>57</v>
      </c>
      <c r="W13" s="2" t="s">
        <v>57</v>
      </c>
      <c r="X13" s="2" t="s">
        <v>57</v>
      </c>
      <c r="Y13" s="2" t="s">
        <v>57</v>
      </c>
      <c r="Z13" s="2" t="s">
        <v>57</v>
      </c>
      <c r="AA13" s="2" t="s">
        <v>57</v>
      </c>
      <c r="AB13" s="2" t="s">
        <v>57</v>
      </c>
      <c r="AC13" s="2" t="s">
        <v>57</v>
      </c>
      <c r="AD13" s="2" t="s">
        <v>57</v>
      </c>
      <c r="AE13" s="2" t="s">
        <v>57</v>
      </c>
      <c r="AF13" s="2" t="s">
        <v>57</v>
      </c>
      <c r="AG13" s="1">
        <v>0</v>
      </c>
      <c r="AH13" s="1">
        <v>0</v>
      </c>
      <c r="AI13" s="1">
        <v>0</v>
      </c>
      <c r="AJ13" s="1">
        <v>0</v>
      </c>
      <c r="AK13" s="1">
        <v>0</v>
      </c>
      <c r="AL13" s="1">
        <v>0</v>
      </c>
      <c r="AM13" s="1">
        <v>0</v>
      </c>
      <c r="AN13" s="1">
        <v>0</v>
      </c>
      <c r="AP13" s="5" t="s">
        <v>76</v>
      </c>
      <c r="AS13" s="180"/>
      <c r="AU13" s="4"/>
      <c r="AV13" s="169"/>
      <c r="AW13" s="5" t="s">
        <v>75</v>
      </c>
      <c r="AX13" s="1">
        <v>0</v>
      </c>
      <c r="AY13" s="1">
        <v>0</v>
      </c>
      <c r="AZ13" s="1">
        <v>0</v>
      </c>
      <c r="BA13" s="1">
        <v>0</v>
      </c>
      <c r="BB13" s="1">
        <v>0</v>
      </c>
      <c r="BC13" s="1">
        <v>0</v>
      </c>
      <c r="BD13" s="1">
        <v>0</v>
      </c>
      <c r="BE13" s="1">
        <v>0</v>
      </c>
      <c r="BF13" s="1">
        <v>0</v>
      </c>
      <c r="BG13" s="1">
        <v>0</v>
      </c>
      <c r="BH13" s="1">
        <v>0</v>
      </c>
      <c r="BI13" s="1">
        <v>0</v>
      </c>
    </row>
    <row r="14" spans="1:64" ht="15" thickBot="1" x14ac:dyDescent="0.4">
      <c r="A14" s="4"/>
      <c r="B14" s="169"/>
      <c r="C14" s="5" t="s">
        <v>77</v>
      </c>
      <c r="D14" s="2" t="s">
        <v>57</v>
      </c>
      <c r="E14" s="2" t="s">
        <v>57</v>
      </c>
      <c r="F14" s="2" t="s">
        <v>57</v>
      </c>
      <c r="G14" s="2" t="s">
        <v>57</v>
      </c>
      <c r="H14" s="2" t="s">
        <v>57</v>
      </c>
      <c r="I14" s="2" t="s">
        <v>57</v>
      </c>
      <c r="J14" s="2" t="s">
        <v>57</v>
      </c>
      <c r="K14" s="2" t="s">
        <v>57</v>
      </c>
      <c r="L14" s="2" t="s">
        <v>57</v>
      </c>
      <c r="M14" s="2" t="s">
        <v>57</v>
      </c>
      <c r="N14" s="2" t="s">
        <v>57</v>
      </c>
      <c r="O14" s="2" t="s">
        <v>57</v>
      </c>
      <c r="P14" s="2" t="s">
        <v>57</v>
      </c>
      <c r="Q14" s="2" t="s">
        <v>57</v>
      </c>
      <c r="R14" s="2" t="s">
        <v>57</v>
      </c>
      <c r="S14" s="2" t="s">
        <v>57</v>
      </c>
      <c r="T14" s="2" t="s">
        <v>57</v>
      </c>
      <c r="U14" s="2" t="s">
        <v>57</v>
      </c>
      <c r="V14" s="2" t="s">
        <v>57</v>
      </c>
      <c r="W14" s="2" t="s">
        <v>57</v>
      </c>
      <c r="X14" s="2" t="s">
        <v>57</v>
      </c>
      <c r="Y14" s="2" t="s">
        <v>57</v>
      </c>
      <c r="Z14" s="2" t="s">
        <v>57</v>
      </c>
      <c r="AA14" s="1">
        <v>3864</v>
      </c>
      <c r="AB14" s="1">
        <v>7907</v>
      </c>
      <c r="AC14" s="1">
        <v>3168</v>
      </c>
      <c r="AD14" s="1">
        <v>2374</v>
      </c>
      <c r="AE14" s="1">
        <v>1570</v>
      </c>
      <c r="AF14" s="1">
        <v>1885</v>
      </c>
      <c r="AG14" s="1">
        <v>1560</v>
      </c>
      <c r="AH14" s="1">
        <v>1937</v>
      </c>
      <c r="AI14" s="1">
        <v>1938</v>
      </c>
      <c r="AJ14" s="1">
        <v>763</v>
      </c>
      <c r="AK14" s="1">
        <v>0</v>
      </c>
      <c r="AL14" s="1">
        <v>0</v>
      </c>
      <c r="AM14" s="1">
        <v>0</v>
      </c>
      <c r="AN14" s="1">
        <v>0</v>
      </c>
      <c r="AP14" s="5" t="s">
        <v>78</v>
      </c>
      <c r="AS14" s="180"/>
      <c r="AU14" s="4"/>
      <c r="AV14" s="169"/>
      <c r="AW14" s="5" t="s">
        <v>77</v>
      </c>
      <c r="AX14" s="1">
        <v>0</v>
      </c>
      <c r="AY14" s="1">
        <v>0</v>
      </c>
      <c r="AZ14" s="1">
        <v>0</v>
      </c>
      <c r="BA14" s="1">
        <v>0</v>
      </c>
      <c r="BB14" s="1">
        <v>0</v>
      </c>
      <c r="BC14" s="1">
        <v>0</v>
      </c>
      <c r="BD14" s="1">
        <v>0</v>
      </c>
      <c r="BE14" s="1">
        <v>0</v>
      </c>
      <c r="BF14" s="1">
        <v>0</v>
      </c>
      <c r="BG14" s="1">
        <v>0</v>
      </c>
      <c r="BH14" s="1">
        <v>0</v>
      </c>
      <c r="BI14" s="1">
        <v>0</v>
      </c>
    </row>
    <row r="15" spans="1:64" ht="15" thickBot="1" x14ac:dyDescent="0.4">
      <c r="A15" s="4"/>
      <c r="B15" s="169"/>
      <c r="C15" s="5" t="s">
        <v>79</v>
      </c>
      <c r="D15" s="2" t="s">
        <v>57</v>
      </c>
      <c r="E15" s="2" t="s">
        <v>57</v>
      </c>
      <c r="F15" s="2" t="s">
        <v>57</v>
      </c>
      <c r="G15" s="2" t="s">
        <v>57</v>
      </c>
      <c r="H15" s="2" t="s">
        <v>57</v>
      </c>
      <c r="I15" s="2" t="s">
        <v>57</v>
      </c>
      <c r="J15" s="2" t="s">
        <v>57</v>
      </c>
      <c r="K15" s="2" t="s">
        <v>57</v>
      </c>
      <c r="L15" s="2" t="s">
        <v>57</v>
      </c>
      <c r="M15" s="2" t="s">
        <v>57</v>
      </c>
      <c r="N15" s="2" t="s">
        <v>57</v>
      </c>
      <c r="O15" s="2" t="s">
        <v>57</v>
      </c>
      <c r="P15" s="2" t="s">
        <v>57</v>
      </c>
      <c r="Q15" s="2" t="s">
        <v>57</v>
      </c>
      <c r="R15" s="2" t="s">
        <v>57</v>
      </c>
      <c r="S15" s="2" t="s">
        <v>57</v>
      </c>
      <c r="T15" s="2" t="s">
        <v>57</v>
      </c>
      <c r="U15" s="2" t="s">
        <v>57</v>
      </c>
      <c r="V15" s="2" t="s">
        <v>57</v>
      </c>
      <c r="W15" s="2" t="s">
        <v>57</v>
      </c>
      <c r="X15" s="2" t="s">
        <v>57</v>
      </c>
      <c r="Y15" s="2" t="s">
        <v>57</v>
      </c>
      <c r="Z15" s="2" t="s">
        <v>57</v>
      </c>
      <c r="AA15" s="1">
        <v>8262</v>
      </c>
      <c r="AB15" s="1">
        <v>45373</v>
      </c>
      <c r="AC15" s="1">
        <v>109874</v>
      </c>
      <c r="AD15" s="1">
        <v>119677</v>
      </c>
      <c r="AE15" s="1">
        <v>126958</v>
      </c>
      <c r="AF15" s="1">
        <v>128238</v>
      </c>
      <c r="AG15" s="1">
        <v>110964</v>
      </c>
      <c r="AH15" s="1">
        <v>219356</v>
      </c>
      <c r="AI15" s="1">
        <v>311202</v>
      </c>
      <c r="AJ15" s="1">
        <v>145908</v>
      </c>
      <c r="AK15" s="1">
        <v>192773</v>
      </c>
      <c r="AL15" s="1">
        <v>193256</v>
      </c>
      <c r="AM15" s="1">
        <v>289326</v>
      </c>
      <c r="AN15" s="1">
        <v>317787</v>
      </c>
      <c r="AP15" s="5" t="s">
        <v>80</v>
      </c>
      <c r="AS15" s="180"/>
      <c r="AU15" s="4"/>
      <c r="AV15" s="169"/>
      <c r="AW15" s="5" t="s">
        <v>79</v>
      </c>
      <c r="AX15" s="1">
        <v>13814</v>
      </c>
      <c r="AY15" s="1">
        <v>12924</v>
      </c>
      <c r="AZ15" s="1">
        <v>19415</v>
      </c>
      <c r="BA15" s="1">
        <v>32447</v>
      </c>
      <c r="BB15" s="1">
        <v>32410</v>
      </c>
      <c r="BC15" s="1">
        <v>31326</v>
      </c>
      <c r="BD15" s="1">
        <v>33680</v>
      </c>
      <c r="BE15" s="1">
        <v>34008</v>
      </c>
      <c r="BF15" s="1">
        <v>28473</v>
      </c>
      <c r="BG15" s="1">
        <v>24242</v>
      </c>
      <c r="BH15" s="1">
        <v>13288</v>
      </c>
      <c r="BI15" s="1">
        <v>13299</v>
      </c>
    </row>
    <row r="16" spans="1:64" ht="14.5" customHeight="1" thickBot="1" x14ac:dyDescent="0.4">
      <c r="A16" s="4"/>
      <c r="B16" s="169"/>
      <c r="C16" s="5" t="s">
        <v>81</v>
      </c>
      <c r="D16" s="2" t="s">
        <v>57</v>
      </c>
      <c r="E16" s="2" t="s">
        <v>57</v>
      </c>
      <c r="F16" s="2" t="s">
        <v>57</v>
      </c>
      <c r="G16" s="2" t="s">
        <v>57</v>
      </c>
      <c r="H16" s="2" t="s">
        <v>57</v>
      </c>
      <c r="I16" s="2" t="s">
        <v>57</v>
      </c>
      <c r="J16" s="2" t="s">
        <v>57</v>
      </c>
      <c r="K16" s="2" t="s">
        <v>57</v>
      </c>
      <c r="L16" s="2" t="s">
        <v>57</v>
      </c>
      <c r="M16" s="2" t="s">
        <v>57</v>
      </c>
      <c r="N16" s="2" t="s">
        <v>57</v>
      </c>
      <c r="O16" s="2" t="s">
        <v>57</v>
      </c>
      <c r="P16" s="2" t="s">
        <v>57</v>
      </c>
      <c r="Q16" s="2" t="s">
        <v>57</v>
      </c>
      <c r="R16" s="2" t="s">
        <v>57</v>
      </c>
      <c r="S16" s="2" t="s">
        <v>57</v>
      </c>
      <c r="T16" s="2" t="s">
        <v>57</v>
      </c>
      <c r="U16" s="2" t="s">
        <v>57</v>
      </c>
      <c r="V16" s="2" t="s">
        <v>57</v>
      </c>
      <c r="W16" s="2" t="s">
        <v>57</v>
      </c>
      <c r="X16" s="2" t="s">
        <v>57</v>
      </c>
      <c r="Y16" s="2" t="s">
        <v>57</v>
      </c>
      <c r="Z16" s="2" t="s">
        <v>57</v>
      </c>
      <c r="AA16" s="2" t="s">
        <v>57</v>
      </c>
      <c r="AB16" s="2" t="s">
        <v>57</v>
      </c>
      <c r="AC16" s="2" t="s">
        <v>57</v>
      </c>
      <c r="AD16" s="2" t="s">
        <v>57</v>
      </c>
      <c r="AE16" s="1">
        <v>0</v>
      </c>
      <c r="AF16" s="1">
        <v>0</v>
      </c>
      <c r="AG16" s="1">
        <v>0</v>
      </c>
      <c r="AH16" s="1">
        <v>0</v>
      </c>
      <c r="AI16" s="1">
        <v>0</v>
      </c>
      <c r="AJ16" s="1">
        <v>0</v>
      </c>
      <c r="AK16" s="1">
        <v>0</v>
      </c>
      <c r="AL16" s="1">
        <v>0</v>
      </c>
      <c r="AM16" s="1">
        <v>0</v>
      </c>
      <c r="AN16" s="1">
        <v>0</v>
      </c>
      <c r="AP16" s="5" t="s">
        <v>82</v>
      </c>
      <c r="AS16" s="180"/>
      <c r="AU16" s="4"/>
      <c r="AV16" s="169"/>
      <c r="AW16" s="5" t="s">
        <v>81</v>
      </c>
      <c r="AX16" s="1">
        <v>0</v>
      </c>
      <c r="AY16" s="1">
        <v>0</v>
      </c>
      <c r="AZ16" s="1">
        <v>0</v>
      </c>
      <c r="BA16" s="1">
        <v>0</v>
      </c>
      <c r="BB16" s="1">
        <v>0</v>
      </c>
      <c r="BC16" s="1">
        <v>0</v>
      </c>
      <c r="BD16" s="1">
        <v>0</v>
      </c>
      <c r="BE16" s="1">
        <v>0</v>
      </c>
      <c r="BF16" s="1">
        <v>0</v>
      </c>
      <c r="BG16" s="1">
        <v>0</v>
      </c>
      <c r="BH16" s="1">
        <v>0</v>
      </c>
      <c r="BI16" s="1">
        <v>0</v>
      </c>
    </row>
    <row r="17" spans="1:104" ht="15" thickBot="1" x14ac:dyDescent="0.4">
      <c r="A17" s="4"/>
      <c r="B17" s="169"/>
      <c r="C17" s="5" t="s">
        <v>83</v>
      </c>
      <c r="D17" s="2" t="s">
        <v>57</v>
      </c>
      <c r="E17" s="2" t="s">
        <v>57</v>
      </c>
      <c r="F17" s="2" t="s">
        <v>57</v>
      </c>
      <c r="G17" s="2" t="s">
        <v>57</v>
      </c>
      <c r="H17" s="2" t="s">
        <v>57</v>
      </c>
      <c r="I17" s="2" t="s">
        <v>57</v>
      </c>
      <c r="J17" s="2" t="s">
        <v>57</v>
      </c>
      <c r="K17" s="2" t="s">
        <v>57</v>
      </c>
      <c r="L17" s="2" t="s">
        <v>57</v>
      </c>
      <c r="M17" s="2" t="s">
        <v>57</v>
      </c>
      <c r="N17" s="2" t="s">
        <v>57</v>
      </c>
      <c r="O17" s="2" t="s">
        <v>57</v>
      </c>
      <c r="P17" s="2" t="s">
        <v>57</v>
      </c>
      <c r="Q17" s="2" t="s">
        <v>57</v>
      </c>
      <c r="R17" s="2" t="s">
        <v>57</v>
      </c>
      <c r="S17" s="2" t="s">
        <v>57</v>
      </c>
      <c r="T17" s="2" t="s">
        <v>57</v>
      </c>
      <c r="U17" s="2" t="s">
        <v>57</v>
      </c>
      <c r="V17" s="2" t="s">
        <v>57</v>
      </c>
      <c r="W17" s="2" t="s">
        <v>57</v>
      </c>
      <c r="X17" s="2" t="s">
        <v>57</v>
      </c>
      <c r="Y17" s="2" t="s">
        <v>57</v>
      </c>
      <c r="Z17" s="2" t="s">
        <v>57</v>
      </c>
      <c r="AA17" s="2" t="s">
        <v>57</v>
      </c>
      <c r="AB17" s="2" t="s">
        <v>57</v>
      </c>
      <c r="AC17" s="2" t="s">
        <v>57</v>
      </c>
      <c r="AD17" s="1">
        <v>107673</v>
      </c>
      <c r="AE17" s="1">
        <v>111318</v>
      </c>
      <c r="AF17" s="1">
        <v>110099</v>
      </c>
      <c r="AG17" s="1">
        <v>82620</v>
      </c>
      <c r="AH17" s="1">
        <v>95731</v>
      </c>
      <c r="AI17" s="1">
        <v>102504</v>
      </c>
      <c r="AJ17" s="1">
        <v>121833</v>
      </c>
      <c r="AK17" s="1">
        <v>105591</v>
      </c>
      <c r="AL17" s="1">
        <v>100989</v>
      </c>
      <c r="AM17" s="1">
        <v>103564</v>
      </c>
      <c r="AN17" s="1">
        <v>58930</v>
      </c>
      <c r="AP17" s="5" t="s">
        <v>84</v>
      </c>
      <c r="AS17" s="180"/>
      <c r="AU17" s="4"/>
      <c r="AV17" s="169"/>
      <c r="AW17" s="5" t="s">
        <v>83</v>
      </c>
      <c r="AX17" s="1">
        <v>6541</v>
      </c>
      <c r="AY17" s="1">
        <v>6805</v>
      </c>
      <c r="AZ17" s="1">
        <v>8831</v>
      </c>
      <c r="BA17" s="1">
        <v>9182</v>
      </c>
      <c r="BB17" s="1">
        <v>9822</v>
      </c>
      <c r="BC17" s="1">
        <v>9515</v>
      </c>
      <c r="BD17" s="1">
        <v>17428</v>
      </c>
      <c r="BE17" s="1">
        <v>10638</v>
      </c>
      <c r="BF17" s="1">
        <v>8451</v>
      </c>
      <c r="BG17" s="1">
        <v>8050</v>
      </c>
      <c r="BH17" s="1">
        <v>4235</v>
      </c>
      <c r="BI17" s="1">
        <v>4066</v>
      </c>
    </row>
    <row r="18" spans="1:104" ht="15" thickBot="1" x14ac:dyDescent="0.4">
      <c r="A18" s="4"/>
      <c r="B18" s="170"/>
      <c r="C18" s="5" t="s">
        <v>85</v>
      </c>
      <c r="D18" s="2" t="s">
        <v>57</v>
      </c>
      <c r="E18" s="2" t="s">
        <v>57</v>
      </c>
      <c r="F18" s="2" t="s">
        <v>57</v>
      </c>
      <c r="G18" s="2" t="s">
        <v>57</v>
      </c>
      <c r="H18" s="2" t="s">
        <v>57</v>
      </c>
      <c r="I18" s="2" t="s">
        <v>57</v>
      </c>
      <c r="J18" s="2" t="s">
        <v>57</v>
      </c>
      <c r="K18" s="2" t="s">
        <v>57</v>
      </c>
      <c r="L18" s="2" t="s">
        <v>57</v>
      </c>
      <c r="M18" s="2" t="s">
        <v>57</v>
      </c>
      <c r="N18" s="2" t="s">
        <v>57</v>
      </c>
      <c r="O18" s="2" t="s">
        <v>57</v>
      </c>
      <c r="P18" s="2" t="s">
        <v>57</v>
      </c>
      <c r="Q18" s="2" t="s">
        <v>57</v>
      </c>
      <c r="R18" s="2" t="s">
        <v>57</v>
      </c>
      <c r="S18" s="2" t="s">
        <v>57</v>
      </c>
      <c r="T18" s="2" t="s">
        <v>57</v>
      </c>
      <c r="U18" s="2" t="s">
        <v>57</v>
      </c>
      <c r="V18" s="1">
        <v>232360</v>
      </c>
      <c r="W18" s="1">
        <v>199167</v>
      </c>
      <c r="X18" s="1">
        <v>48172</v>
      </c>
      <c r="Y18" s="1">
        <v>71983</v>
      </c>
      <c r="Z18" s="1">
        <v>83478</v>
      </c>
      <c r="AA18" s="1">
        <v>30228</v>
      </c>
      <c r="AB18" s="1">
        <v>100466</v>
      </c>
      <c r="AC18" s="1">
        <v>21231</v>
      </c>
      <c r="AD18" s="1">
        <v>1839</v>
      </c>
      <c r="AE18" s="1">
        <v>11</v>
      </c>
      <c r="AF18" s="1">
        <v>15</v>
      </c>
      <c r="AG18" s="1">
        <v>11</v>
      </c>
      <c r="AH18" s="1">
        <v>12</v>
      </c>
      <c r="AI18" s="1">
        <v>0</v>
      </c>
      <c r="AJ18" s="1">
        <v>0</v>
      </c>
      <c r="AK18" s="1">
        <v>0</v>
      </c>
      <c r="AL18" s="1">
        <v>0</v>
      </c>
      <c r="AM18" s="1">
        <v>0</v>
      </c>
      <c r="AN18" s="1">
        <v>0</v>
      </c>
      <c r="AP18" s="5" t="s">
        <v>86</v>
      </c>
      <c r="AS18" s="180"/>
      <c r="AU18" s="4"/>
      <c r="AV18" s="170"/>
      <c r="AW18" s="5" t="s">
        <v>85</v>
      </c>
      <c r="AX18" s="1">
        <v>0</v>
      </c>
      <c r="AY18" s="1">
        <v>0</v>
      </c>
      <c r="AZ18" s="1">
        <v>0</v>
      </c>
      <c r="BA18" s="1">
        <v>0</v>
      </c>
      <c r="BB18" s="1">
        <v>0</v>
      </c>
      <c r="BC18" s="1">
        <v>0</v>
      </c>
      <c r="BD18" s="1">
        <v>0</v>
      </c>
      <c r="BE18" s="1">
        <v>0</v>
      </c>
      <c r="BF18" s="1">
        <v>0</v>
      </c>
      <c r="BG18" s="1">
        <v>0</v>
      </c>
      <c r="BH18" s="1">
        <v>0</v>
      </c>
      <c r="BI18" s="1">
        <v>0</v>
      </c>
    </row>
    <row r="19" spans="1:104" ht="16" thickBot="1" x14ac:dyDescent="0.4">
      <c r="A19" s="6"/>
      <c r="B19" s="158" t="s">
        <v>87</v>
      </c>
      <c r="C19" s="159"/>
      <c r="D19" s="7">
        <v>126257880</v>
      </c>
      <c r="E19" s="7">
        <v>135631920</v>
      </c>
      <c r="F19" s="7">
        <v>146045910</v>
      </c>
      <c r="G19" s="7">
        <v>159218895</v>
      </c>
      <c r="H19" s="7">
        <v>172562374</v>
      </c>
      <c r="I19" s="7">
        <v>183466319</v>
      </c>
      <c r="J19" s="7">
        <v>189193810</v>
      </c>
      <c r="K19" s="7">
        <v>195546929</v>
      </c>
      <c r="L19" s="7">
        <v>205242832</v>
      </c>
      <c r="M19" s="7">
        <v>214083912</v>
      </c>
      <c r="N19" s="7">
        <v>222783821</v>
      </c>
      <c r="O19" s="7">
        <v>243475253</v>
      </c>
      <c r="P19" s="7">
        <v>261048755</v>
      </c>
      <c r="Q19" s="7">
        <v>281015695</v>
      </c>
      <c r="R19" s="7">
        <v>304645051</v>
      </c>
      <c r="S19" s="7">
        <v>330572062</v>
      </c>
      <c r="T19" s="7">
        <v>353827574</v>
      </c>
      <c r="U19" s="7">
        <v>386699705</v>
      </c>
      <c r="V19" s="7">
        <v>400109134</v>
      </c>
      <c r="W19" s="7">
        <v>413136995</v>
      </c>
      <c r="X19" s="7">
        <v>428923032</v>
      </c>
      <c r="Y19" s="7">
        <v>440998438</v>
      </c>
      <c r="Z19" s="7">
        <v>442490179</v>
      </c>
      <c r="AA19" s="7">
        <v>453415018</v>
      </c>
      <c r="AB19" s="7">
        <v>445747438</v>
      </c>
      <c r="AC19" s="7">
        <v>420862251</v>
      </c>
      <c r="AD19" s="7">
        <v>412182580</v>
      </c>
      <c r="AE19" s="7">
        <v>415549140</v>
      </c>
      <c r="AF19" s="7">
        <v>421557699</v>
      </c>
      <c r="AG19" s="7">
        <v>430005303</v>
      </c>
      <c r="AH19" s="7">
        <v>433771795</v>
      </c>
      <c r="AI19" s="7">
        <v>442779771</v>
      </c>
      <c r="AJ19" s="7">
        <v>446421591</v>
      </c>
      <c r="AK19" s="7">
        <v>428098846</v>
      </c>
      <c r="AL19" s="7">
        <v>449797808</v>
      </c>
      <c r="AM19" s="7">
        <v>459802138</v>
      </c>
      <c r="AN19" s="7">
        <v>308931270</v>
      </c>
      <c r="AS19" s="180"/>
      <c r="AU19" s="6"/>
      <c r="AV19" s="158" t="s">
        <v>87</v>
      </c>
      <c r="AW19" s="159"/>
      <c r="AX19" s="7">
        <v>38329703</v>
      </c>
      <c r="AY19" s="7">
        <v>34468181</v>
      </c>
      <c r="AZ19" s="7">
        <v>37892715</v>
      </c>
      <c r="BA19" s="7">
        <v>36028902</v>
      </c>
      <c r="BB19" s="7">
        <v>37527887</v>
      </c>
      <c r="BC19" s="7">
        <v>37188182</v>
      </c>
      <c r="BD19" s="7">
        <v>40392234</v>
      </c>
      <c r="BE19" s="7">
        <v>41527308</v>
      </c>
      <c r="BF19" s="7">
        <v>40817663</v>
      </c>
      <c r="BG19" s="7">
        <v>38856596</v>
      </c>
      <c r="BH19" s="7">
        <v>37574577</v>
      </c>
      <c r="BI19" s="7">
        <v>39198190</v>
      </c>
      <c r="BX19" s="119" t="s">
        <v>497</v>
      </c>
      <c r="BY19" s="119" t="s">
        <v>498</v>
      </c>
      <c r="BZ19" s="119" t="s">
        <v>496</v>
      </c>
      <c r="CA19" s="119" t="s">
        <v>500</v>
      </c>
      <c r="CB19" s="119" t="s">
        <v>499</v>
      </c>
    </row>
    <row r="20" spans="1:104" ht="14.5" customHeight="1" x14ac:dyDescent="0.35">
      <c r="A20" s="8"/>
      <c r="B20" s="9"/>
      <c r="C20" s="9"/>
      <c r="D20" s="9"/>
      <c r="E20" s="9"/>
      <c r="F20" s="9"/>
      <c r="AS20" s="180"/>
      <c r="AU20" s="8"/>
      <c r="AV20" s="9"/>
      <c r="AW20" s="9"/>
      <c r="AX20" s="9"/>
      <c r="AY20" s="9"/>
      <c r="AZ20" s="9"/>
      <c r="BX20" s="119" t="s">
        <v>493</v>
      </c>
      <c r="BY20" s="120">
        <v>744.6</v>
      </c>
      <c r="BZ20" s="119">
        <v>137133</v>
      </c>
      <c r="CA20" s="121">
        <v>76934</v>
      </c>
      <c r="CB20" s="119">
        <v>453.4</v>
      </c>
    </row>
    <row r="21" spans="1:104" ht="14.5" customHeight="1" thickBot="1" x14ac:dyDescent="0.4">
      <c r="C21" s="18" t="s">
        <v>60</v>
      </c>
      <c r="D21" s="19">
        <f>AM6+AM11+AM14+AM16</f>
        <v>16636770</v>
      </c>
      <c r="AS21" s="180"/>
      <c r="AW21" t="s">
        <v>88</v>
      </c>
      <c r="AX21">
        <f>AX4+AX5+AX6+AX9+AX10+AX11+AX12+AX13+AX15+AX14+AX16+AX17+AX18</f>
        <v>8671910</v>
      </c>
      <c r="AY21">
        <f t="shared" ref="AY21:BI21" si="0">AY4+AY5+AY6+AY9+AY10+AY11+AY12+AY13+AY15+AY14+AY16+AY17+AY18</f>
        <v>16710946</v>
      </c>
      <c r="AZ21">
        <f t="shared" si="0"/>
        <v>19702134</v>
      </c>
      <c r="BA21">
        <f t="shared" si="0"/>
        <v>19185884</v>
      </c>
      <c r="BB21">
        <f t="shared" si="0"/>
        <v>17557252</v>
      </c>
      <c r="BC21">
        <f t="shared" si="0"/>
        <v>15986398</v>
      </c>
      <c r="BD21">
        <f t="shared" si="0"/>
        <v>16963695</v>
      </c>
      <c r="BE21">
        <f t="shared" si="0"/>
        <v>17697885</v>
      </c>
      <c r="BF21">
        <f t="shared" si="0"/>
        <v>16093436</v>
      </c>
      <c r="BG21">
        <f t="shared" si="0"/>
        <v>17330720</v>
      </c>
      <c r="BH21">
        <f t="shared" si="0"/>
        <v>16071911</v>
      </c>
      <c r="BI21">
        <f t="shared" si="0"/>
        <v>16751495</v>
      </c>
      <c r="BX21" s="119" t="s">
        <v>494</v>
      </c>
      <c r="BY21" s="120">
        <v>173.1</v>
      </c>
      <c r="BZ21" s="119"/>
      <c r="CA21" s="119">
        <v>9210</v>
      </c>
      <c r="CB21" s="119">
        <v>48.2</v>
      </c>
    </row>
    <row r="22" spans="1:104" ht="14.5" customHeight="1" thickBot="1" x14ac:dyDescent="0.4">
      <c r="C22" s="18" t="s">
        <v>66</v>
      </c>
      <c r="D22" s="19">
        <v>20158160</v>
      </c>
      <c r="L22" s="5" t="s">
        <v>54</v>
      </c>
      <c r="AS22" s="180"/>
      <c r="AW22" t="s">
        <v>89</v>
      </c>
      <c r="AX22" s="21">
        <f>(AX21/AX19)*100</f>
        <v>22.624516553128522</v>
      </c>
      <c r="AY22" s="21">
        <f t="shared" ref="AY22:BI22" si="1">(AY21/AY19)*100</f>
        <v>48.482239315152718</v>
      </c>
      <c r="AZ22" s="21">
        <f t="shared" si="1"/>
        <v>51.994516624105714</v>
      </c>
      <c r="BA22" s="21">
        <f t="shared" si="1"/>
        <v>53.251370247142141</v>
      </c>
      <c r="BB22" s="21">
        <f t="shared" si="1"/>
        <v>46.784547182206126</v>
      </c>
      <c r="BC22" s="21">
        <f t="shared" si="1"/>
        <v>42.987844901909966</v>
      </c>
      <c r="BD22" s="21">
        <f t="shared" si="1"/>
        <v>41.997417127262629</v>
      </c>
      <c r="BE22" s="21">
        <f t="shared" si="1"/>
        <v>42.617462706708558</v>
      </c>
      <c r="BF22" s="21">
        <f t="shared" si="1"/>
        <v>39.427627201488733</v>
      </c>
      <c r="BG22" s="21">
        <f t="shared" si="1"/>
        <v>44.601745351033841</v>
      </c>
      <c r="BH22" s="21">
        <f t="shared" si="1"/>
        <v>42.773365086718073</v>
      </c>
      <c r="BI22" s="21">
        <f t="shared" si="1"/>
        <v>42.735378852952138</v>
      </c>
      <c r="BJ22" s="21"/>
      <c r="BX22" s="119" t="s">
        <v>495</v>
      </c>
      <c r="BY22" s="120">
        <v>141</v>
      </c>
      <c r="BZ22" s="119"/>
      <c r="CA22" s="119">
        <v>2183</v>
      </c>
      <c r="CB22" s="119">
        <v>11.5</v>
      </c>
    </row>
    <row r="23" spans="1:104" ht="14.5" customHeight="1" thickBot="1" x14ac:dyDescent="0.4">
      <c r="C23" s="18" t="s">
        <v>74</v>
      </c>
      <c r="D23" s="20">
        <f>AM12+AM15</f>
        <v>315800</v>
      </c>
      <c r="L23" s="5" t="s">
        <v>56</v>
      </c>
      <c r="AM23" s="18" t="s">
        <v>60</v>
      </c>
      <c r="AN23">
        <f>AM6+AM11</f>
        <v>16636770</v>
      </c>
      <c r="AO23" s="127">
        <f>AN23/$AM$19</f>
        <v>3.6182454636607193E-2</v>
      </c>
      <c r="AS23" s="180"/>
      <c r="AW23" t="s">
        <v>90</v>
      </c>
      <c r="AX23">
        <f>SUM(AX7:AX8)</f>
        <v>29657793</v>
      </c>
      <c r="AY23">
        <f t="shared" ref="AY23:BI23" si="2">SUM(AY7:AY8)</f>
        <v>17757235</v>
      </c>
      <c r="AZ23">
        <f t="shared" si="2"/>
        <v>18190581</v>
      </c>
      <c r="BA23">
        <f t="shared" si="2"/>
        <v>16843018</v>
      </c>
      <c r="BB23">
        <f t="shared" si="2"/>
        <v>19970635</v>
      </c>
      <c r="BC23">
        <f t="shared" si="2"/>
        <v>21201784</v>
      </c>
      <c r="BD23">
        <f t="shared" si="2"/>
        <v>23428539</v>
      </c>
      <c r="BE23">
        <f t="shared" si="2"/>
        <v>23829423</v>
      </c>
      <c r="BF23">
        <f t="shared" si="2"/>
        <v>24724227</v>
      </c>
      <c r="BG23">
        <f t="shared" si="2"/>
        <v>21525876</v>
      </c>
      <c r="BH23">
        <f t="shared" si="2"/>
        <v>21502666</v>
      </c>
      <c r="BI23">
        <f t="shared" si="2"/>
        <v>22446695</v>
      </c>
      <c r="CY23" s="97" t="s">
        <v>91</v>
      </c>
      <c r="CZ23" t="s">
        <v>92</v>
      </c>
    </row>
    <row r="24" spans="1:104" ht="14.5" customHeight="1" thickBot="1" x14ac:dyDescent="0.4">
      <c r="C24" s="17"/>
      <c r="E24" s="10"/>
      <c r="L24" s="5" t="s">
        <v>60</v>
      </c>
      <c r="AI24" s="10"/>
      <c r="AM24" s="18" t="s">
        <v>66</v>
      </c>
      <c r="AN24">
        <f>AN7+AN8</f>
        <v>170338433</v>
      </c>
      <c r="AO24" s="127">
        <f t="shared" ref="AO24:AO28" si="3">AN24/$AM$19</f>
        <v>0.37046028916029095</v>
      </c>
      <c r="AS24" s="180"/>
    </row>
    <row r="25" spans="1:104" ht="15" thickBot="1" x14ac:dyDescent="0.4">
      <c r="L25" s="5" t="s">
        <v>62</v>
      </c>
      <c r="AM25" s="18" t="s">
        <v>93</v>
      </c>
      <c r="AN25">
        <f>AM17+AM15+AM12</f>
        <v>419364</v>
      </c>
      <c r="AO25" s="127">
        <f t="shared" si="3"/>
        <v>9.1205317535952824E-4</v>
      </c>
      <c r="AS25" s="180"/>
      <c r="AW25" t="s">
        <v>59</v>
      </c>
      <c r="AX25">
        <f>AX6+AX11+AX14+AX16</f>
        <v>1421319</v>
      </c>
      <c r="AY25">
        <f t="shared" ref="AY25:BI25" si="4">AY6+AY11+AY14+AY16</f>
        <v>841215</v>
      </c>
      <c r="AZ25">
        <f t="shared" si="4"/>
        <v>1798380</v>
      </c>
      <c r="BA25">
        <f t="shared" si="4"/>
        <v>1587546</v>
      </c>
      <c r="BB25">
        <f t="shared" si="4"/>
        <v>992737</v>
      </c>
      <c r="BC25">
        <f t="shared" si="4"/>
        <v>1171682</v>
      </c>
      <c r="BD25">
        <f t="shared" si="4"/>
        <v>1390251</v>
      </c>
      <c r="BE25">
        <f t="shared" si="4"/>
        <v>743937</v>
      </c>
      <c r="BF25">
        <f t="shared" si="4"/>
        <v>1131514</v>
      </c>
      <c r="BG25">
        <f t="shared" si="4"/>
        <v>1875007</v>
      </c>
      <c r="BH25">
        <f t="shared" si="4"/>
        <v>1524237</v>
      </c>
      <c r="BI25">
        <f t="shared" si="4"/>
        <v>2158945</v>
      </c>
    </row>
    <row r="26" spans="1:104" ht="14.5" customHeight="1" thickBot="1" x14ac:dyDescent="0.4">
      <c r="L26" s="5" t="s">
        <v>66</v>
      </c>
      <c r="AM26" s="5" t="s">
        <v>54</v>
      </c>
      <c r="AN26">
        <f>AM4</f>
        <v>683247</v>
      </c>
      <c r="AO26" s="127">
        <f t="shared" si="3"/>
        <v>1.4859587277517184E-3</v>
      </c>
      <c r="AS26" s="180"/>
    </row>
    <row r="27" spans="1:104" s="22" customFormat="1" ht="14.5" customHeight="1" thickBot="1" x14ac:dyDescent="0.4">
      <c r="A27"/>
      <c r="B27"/>
      <c r="C27"/>
      <c r="D27"/>
      <c r="E27"/>
      <c r="F27"/>
      <c r="G27"/>
      <c r="H27"/>
      <c r="I27"/>
      <c r="J27"/>
      <c r="K27"/>
      <c r="L27" s="5" t="s">
        <v>68</v>
      </c>
      <c r="M27"/>
      <c r="N27"/>
      <c r="O27"/>
      <c r="P27"/>
      <c r="Q27" t="s">
        <v>94</v>
      </c>
      <c r="R27"/>
      <c r="S27"/>
      <c r="T27"/>
      <c r="U27"/>
      <c r="V27"/>
      <c r="W27"/>
      <c r="X27"/>
      <c r="Y27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 s="5" t="s">
        <v>68</v>
      </c>
      <c r="AN27">
        <f>AM9</f>
        <v>153396385</v>
      </c>
      <c r="AO27" s="127">
        <f t="shared" si="3"/>
        <v>0.33361390111674516</v>
      </c>
      <c r="AP27"/>
      <c r="AQ27"/>
      <c r="AR27"/>
      <c r="AS27" s="180"/>
      <c r="AT27"/>
      <c r="AU27"/>
      <c r="AV27"/>
      <c r="AW27"/>
      <c r="AX27"/>
      <c r="AY27"/>
      <c r="AZ27"/>
      <c r="BA27"/>
      <c r="BB27"/>
      <c r="BC27"/>
      <c r="BD27"/>
      <c r="BE27"/>
      <c r="BF27"/>
      <c r="BG27"/>
      <c r="BH27"/>
      <c r="BI27"/>
      <c r="BJ27"/>
      <c r="BK27"/>
      <c r="CJ27" s="23" t="s">
        <v>95</v>
      </c>
    </row>
    <row r="28" spans="1:104" ht="14.5" customHeight="1" thickBot="1" x14ac:dyDescent="0.4">
      <c r="L28" s="5" t="s">
        <v>70</v>
      </c>
      <c r="AM28" s="5" t="s">
        <v>70</v>
      </c>
      <c r="AN28">
        <f>AM10</f>
        <v>27587900</v>
      </c>
      <c r="AO28" s="127">
        <f t="shared" si="3"/>
        <v>5.999950352557952E-2</v>
      </c>
      <c r="AS28" s="180"/>
      <c r="AU28" s="172" t="s">
        <v>96</v>
      </c>
      <c r="AV28" s="173"/>
      <c r="AW28" s="164" t="s">
        <v>1</v>
      </c>
      <c r="AX28" s="158"/>
      <c r="AY28" s="158"/>
      <c r="AZ28" s="158"/>
      <c r="BA28" s="158"/>
      <c r="BB28" s="158"/>
      <c r="BC28" s="158"/>
      <c r="BD28" s="158"/>
      <c r="BE28" s="158"/>
      <c r="BF28" s="158"/>
      <c r="BG28" s="158"/>
      <c r="BH28" s="158"/>
      <c r="BI28" s="3"/>
      <c r="BL28" s="171" t="s">
        <v>97</v>
      </c>
      <c r="BM28" t="s">
        <v>98</v>
      </c>
      <c r="BN28" t="s">
        <v>99</v>
      </c>
      <c r="BV28" t="s">
        <v>100</v>
      </c>
      <c r="BW28" t="s">
        <v>101</v>
      </c>
    </row>
    <row r="29" spans="1:104" ht="14.5" customHeight="1" thickBot="1" x14ac:dyDescent="0.4">
      <c r="L29" s="5" t="s">
        <v>72</v>
      </c>
      <c r="AS29" s="180"/>
      <c r="AU29" s="174"/>
      <c r="AV29" s="175"/>
      <c r="AW29" s="8"/>
      <c r="AX29" s="165" t="s">
        <v>39</v>
      </c>
      <c r="AY29" s="166"/>
      <c r="AZ29" s="166"/>
      <c r="BA29" s="166"/>
      <c r="BB29" s="166"/>
      <c r="BC29" s="166"/>
      <c r="BD29" s="166"/>
      <c r="BE29" s="166"/>
      <c r="BF29" s="166"/>
      <c r="BG29" s="166"/>
      <c r="BH29" s="166"/>
      <c r="BI29" s="167"/>
      <c r="BJ29" t="s">
        <v>102</v>
      </c>
      <c r="BL29" s="171"/>
      <c r="BV29" t="s">
        <v>103</v>
      </c>
      <c r="BW29" s="24" t="s">
        <v>104</v>
      </c>
    </row>
    <row r="30" spans="1:104" ht="14.5" customHeight="1" thickBot="1" x14ac:dyDescent="0.4">
      <c r="L30" s="5" t="s">
        <v>74</v>
      </c>
      <c r="AN30">
        <f>(AN26+AN25)*10^-6</f>
        <v>1.102611</v>
      </c>
      <c r="AS30" s="180"/>
      <c r="AU30" s="176"/>
      <c r="AV30" s="177"/>
      <c r="AW30" s="8"/>
      <c r="AX30" s="5" t="s">
        <v>41</v>
      </c>
      <c r="AY30" s="5" t="s">
        <v>42</v>
      </c>
      <c r="AZ30" s="5" t="s">
        <v>43</v>
      </c>
      <c r="BA30" s="5" t="s">
        <v>44</v>
      </c>
      <c r="BB30" s="5" t="s">
        <v>45</v>
      </c>
      <c r="BC30" s="5" t="s">
        <v>46</v>
      </c>
      <c r="BD30" s="5" t="s">
        <v>47</v>
      </c>
      <c r="BE30" s="5" t="s">
        <v>48</v>
      </c>
      <c r="BF30" s="5" t="s">
        <v>49</v>
      </c>
      <c r="BG30" s="5" t="s">
        <v>50</v>
      </c>
      <c r="BH30" s="5" t="s">
        <v>51</v>
      </c>
      <c r="BI30" s="5" t="s">
        <v>52</v>
      </c>
      <c r="BV30" t="s">
        <v>105</v>
      </c>
      <c r="BW30" t="s">
        <v>106</v>
      </c>
    </row>
    <row r="31" spans="1:104" ht="14.5" customHeight="1" thickBot="1" x14ac:dyDescent="0.4">
      <c r="L31" s="5" t="s">
        <v>76</v>
      </c>
      <c r="AS31" s="180"/>
      <c r="AU31" s="4"/>
      <c r="AV31" s="168" t="s">
        <v>53</v>
      </c>
      <c r="AW31" s="5" t="s">
        <v>107</v>
      </c>
      <c r="AX31" s="1">
        <v>11949465</v>
      </c>
      <c r="AY31" s="1">
        <v>11270204</v>
      </c>
      <c r="AZ31" s="1">
        <v>12360653</v>
      </c>
      <c r="BA31" s="1">
        <v>12096865</v>
      </c>
      <c r="BB31" s="1">
        <v>3762261</v>
      </c>
      <c r="BC31" s="1">
        <v>22735018</v>
      </c>
      <c r="BD31" s="1">
        <v>14791202</v>
      </c>
      <c r="BE31" s="1">
        <v>15681795</v>
      </c>
      <c r="BF31" s="1">
        <v>16271016</v>
      </c>
      <c r="BG31" s="1">
        <v>14613479</v>
      </c>
      <c r="BH31" s="1">
        <v>13063715</v>
      </c>
      <c r="BI31" s="1">
        <v>12110411</v>
      </c>
      <c r="BJ31">
        <f>SUM(AX31:BI31)</f>
        <v>160706084</v>
      </c>
      <c r="BV31" t="s">
        <v>108</v>
      </c>
      <c r="BW31" t="s">
        <v>109</v>
      </c>
    </row>
    <row r="32" spans="1:104" ht="14.5" customHeight="1" thickBot="1" x14ac:dyDescent="0.4">
      <c r="L32" s="5" t="s">
        <v>78</v>
      </c>
      <c r="AS32" s="180"/>
      <c r="AU32" s="4"/>
      <c r="AV32" s="169"/>
      <c r="AW32" s="5" t="s">
        <v>110</v>
      </c>
      <c r="AX32" s="1">
        <v>111653</v>
      </c>
      <c r="AY32" s="1">
        <v>101146</v>
      </c>
      <c r="AZ32" s="1">
        <v>110334</v>
      </c>
      <c r="BA32" s="1">
        <v>104577</v>
      </c>
      <c r="BB32" s="1">
        <v>0</v>
      </c>
      <c r="BC32" s="1">
        <v>204649</v>
      </c>
      <c r="BD32" s="1">
        <v>109507</v>
      </c>
      <c r="BE32" s="1">
        <v>108175</v>
      </c>
      <c r="BF32" s="1">
        <v>115135</v>
      </c>
      <c r="BG32" s="1">
        <v>101901</v>
      </c>
      <c r="BH32" s="1">
        <v>93281</v>
      </c>
      <c r="BI32" s="1">
        <v>94006</v>
      </c>
      <c r="BJ32">
        <f t="shared" ref="BJ32:BJ38" si="5">SUM(AX32:BI32)</f>
        <v>1254364</v>
      </c>
      <c r="BV32" t="s">
        <v>111</v>
      </c>
      <c r="BW32" t="s">
        <v>112</v>
      </c>
      <c r="BZ32" s="24"/>
    </row>
    <row r="33" spans="1:75" ht="14.5" customHeight="1" thickBot="1" x14ac:dyDescent="0.4">
      <c r="L33" s="5" t="s">
        <v>80</v>
      </c>
      <c r="AS33" s="180"/>
      <c r="AU33" s="4"/>
      <c r="AV33" s="169"/>
      <c r="AW33" s="5" t="s">
        <v>113</v>
      </c>
      <c r="AX33" s="1">
        <v>12502519</v>
      </c>
      <c r="AY33" s="1">
        <v>12455416</v>
      </c>
      <c r="AZ33" s="1">
        <v>12887893</v>
      </c>
      <c r="BA33" s="1">
        <v>12156197</v>
      </c>
      <c r="BB33" s="1">
        <v>11990962</v>
      </c>
      <c r="BC33" s="1">
        <v>12317458</v>
      </c>
      <c r="BD33" s="1">
        <v>11307090</v>
      </c>
      <c r="BE33" s="1">
        <v>12217845</v>
      </c>
      <c r="BF33" s="1">
        <v>12521196</v>
      </c>
      <c r="BG33" s="1">
        <v>12323057</v>
      </c>
      <c r="BH33" s="1">
        <v>11886137</v>
      </c>
      <c r="BI33" s="1">
        <v>12792303</v>
      </c>
      <c r="BJ33">
        <f t="shared" si="5"/>
        <v>147358073</v>
      </c>
      <c r="BV33" t="s">
        <v>114</v>
      </c>
      <c r="BW33" t="s">
        <v>115</v>
      </c>
    </row>
    <row r="34" spans="1:75" ht="14.5" customHeight="1" thickBot="1" x14ac:dyDescent="0.4">
      <c r="L34" s="5" t="s">
        <v>82</v>
      </c>
      <c r="AS34" s="180"/>
      <c r="AU34" s="4"/>
      <c r="AV34" s="169"/>
      <c r="AW34" s="5" t="s">
        <v>116</v>
      </c>
      <c r="AX34" s="1">
        <v>1158152</v>
      </c>
      <c r="AY34" s="1">
        <v>967800</v>
      </c>
      <c r="AZ34" s="1">
        <v>833110</v>
      </c>
      <c r="BA34" s="1">
        <v>960049</v>
      </c>
      <c r="BB34" s="1">
        <v>708</v>
      </c>
      <c r="BC34" s="1">
        <v>804774</v>
      </c>
      <c r="BD34" s="1">
        <v>1267529</v>
      </c>
      <c r="BE34" s="1">
        <v>732452</v>
      </c>
      <c r="BF34" s="1">
        <v>788564</v>
      </c>
      <c r="BG34" s="1">
        <v>844189</v>
      </c>
      <c r="BH34" s="1">
        <v>992644</v>
      </c>
      <c r="BI34" s="1">
        <v>952143</v>
      </c>
      <c r="BJ34">
        <f t="shared" si="5"/>
        <v>10302114</v>
      </c>
      <c r="BV34" t="s">
        <v>117</v>
      </c>
      <c r="BW34" t="s">
        <v>118</v>
      </c>
    </row>
    <row r="35" spans="1:75" ht="14.5" customHeight="1" thickBot="1" x14ac:dyDescent="0.4">
      <c r="L35" s="5" t="s">
        <v>84</v>
      </c>
      <c r="AQ35" t="s">
        <v>176</v>
      </c>
      <c r="AS35" s="180"/>
      <c r="AU35" s="4"/>
      <c r="AV35" s="169"/>
      <c r="AW35" s="5" t="s">
        <v>119</v>
      </c>
      <c r="AX35" s="1">
        <v>6420686</v>
      </c>
      <c r="AY35" s="1">
        <v>5972773</v>
      </c>
      <c r="AZ35" s="1">
        <v>6934182</v>
      </c>
      <c r="BA35" s="1">
        <v>6448721</v>
      </c>
      <c r="BB35" s="1">
        <v>212642</v>
      </c>
      <c r="BC35" s="1">
        <v>13423822</v>
      </c>
      <c r="BD35" s="1">
        <v>6977419</v>
      </c>
      <c r="BE35" s="1">
        <v>7240096</v>
      </c>
      <c r="BF35" s="1">
        <v>6703997</v>
      </c>
      <c r="BG35" s="1">
        <v>7037156</v>
      </c>
      <c r="BH35" s="1">
        <v>6389561</v>
      </c>
      <c r="BI35" s="1">
        <v>4759006</v>
      </c>
      <c r="BJ35">
        <f t="shared" si="5"/>
        <v>78520061</v>
      </c>
      <c r="BV35" t="s">
        <v>120</v>
      </c>
      <c r="BW35" t="s">
        <v>121</v>
      </c>
    </row>
    <row r="36" spans="1:75" ht="14.5" customHeight="1" thickBot="1" x14ac:dyDescent="0.4">
      <c r="L36" s="5" t="s">
        <v>86</v>
      </c>
      <c r="AP36" s="116">
        <v>2000</v>
      </c>
      <c r="AQ36" s="117">
        <f>Q50</f>
        <v>249798976</v>
      </c>
      <c r="AS36" s="180"/>
      <c r="AU36" s="4"/>
      <c r="AV36" s="169"/>
      <c r="AW36" s="5" t="s">
        <v>122</v>
      </c>
      <c r="AX36" s="1">
        <v>0</v>
      </c>
      <c r="AY36" s="1">
        <v>13948</v>
      </c>
      <c r="AZ36" s="1">
        <v>3647</v>
      </c>
      <c r="BA36" s="1">
        <v>5062</v>
      </c>
      <c r="BB36" s="1">
        <v>0</v>
      </c>
      <c r="BC36" s="1">
        <v>0</v>
      </c>
      <c r="BD36" s="1">
        <v>0</v>
      </c>
      <c r="BE36" s="1">
        <v>10908</v>
      </c>
      <c r="BF36" s="1">
        <v>0</v>
      </c>
      <c r="BG36" s="1">
        <v>10058</v>
      </c>
      <c r="BH36" s="1">
        <v>18392</v>
      </c>
      <c r="BI36" s="1">
        <v>4606</v>
      </c>
      <c r="BJ36">
        <f t="shared" si="5"/>
        <v>66621</v>
      </c>
      <c r="BV36" t="s">
        <v>123</v>
      </c>
      <c r="BW36" t="s">
        <v>124</v>
      </c>
    </row>
    <row r="37" spans="1:75" ht="14.5" customHeight="1" thickBot="1" x14ac:dyDescent="0.4">
      <c r="AP37" s="116">
        <f>AP36+1</f>
        <v>2001</v>
      </c>
      <c r="AQ37" s="117">
        <f>R50</f>
        <v>270753733</v>
      </c>
      <c r="AS37" s="180"/>
      <c r="AU37" s="4"/>
      <c r="AV37" s="170"/>
      <c r="AW37" s="5" t="s">
        <v>125</v>
      </c>
      <c r="AX37" s="1">
        <v>2186435</v>
      </c>
      <c r="AY37" s="1">
        <v>2078046</v>
      </c>
      <c r="AZ37" s="1">
        <v>2308599</v>
      </c>
      <c r="BA37" s="1">
        <v>2077390</v>
      </c>
      <c r="BB37" s="1">
        <v>138183</v>
      </c>
      <c r="BC37" s="1">
        <v>4164009</v>
      </c>
      <c r="BD37" s="1">
        <v>2191388</v>
      </c>
      <c r="BE37" s="1">
        <v>2234391</v>
      </c>
      <c r="BF37" s="1">
        <v>2463124</v>
      </c>
      <c r="BG37" s="1">
        <v>2294977</v>
      </c>
      <c r="BH37" s="1">
        <v>2168611</v>
      </c>
      <c r="BI37" s="1">
        <v>1934499</v>
      </c>
      <c r="BJ37">
        <f t="shared" si="5"/>
        <v>26239652</v>
      </c>
      <c r="BV37" t="s">
        <v>126</v>
      </c>
      <c r="BW37" t="s">
        <v>127</v>
      </c>
    </row>
    <row r="38" spans="1:75" ht="14.5" customHeight="1" thickBot="1" x14ac:dyDescent="0.4">
      <c r="AP38" s="116">
        <f t="shared" ref="AP38:AP58" si="6">AP37+1</f>
        <v>2002</v>
      </c>
      <c r="AQ38" s="117">
        <f>S50</f>
        <v>296298353</v>
      </c>
      <c r="AS38" s="180"/>
      <c r="AU38" s="6"/>
      <c r="AV38" s="158" t="s">
        <v>87</v>
      </c>
      <c r="AW38" s="159"/>
      <c r="AX38" s="7">
        <v>34328910</v>
      </c>
      <c r="AY38" s="7">
        <v>32859333</v>
      </c>
      <c r="AZ38" s="7">
        <v>35438418</v>
      </c>
      <c r="BA38" s="7">
        <v>33848861</v>
      </c>
      <c r="BB38" s="7">
        <v>16104756</v>
      </c>
      <c r="BC38" s="7">
        <v>53649730</v>
      </c>
      <c r="BD38" s="7">
        <v>36644135</v>
      </c>
      <c r="BE38" s="7">
        <v>38225662</v>
      </c>
      <c r="BF38" s="7">
        <v>38863032</v>
      </c>
      <c r="BG38" s="7">
        <v>37224817</v>
      </c>
      <c r="BH38" s="7">
        <v>34612341</v>
      </c>
      <c r="BI38" s="7">
        <v>32646974</v>
      </c>
      <c r="BJ38">
        <f t="shared" si="5"/>
        <v>424446969</v>
      </c>
      <c r="BV38" t="s">
        <v>128</v>
      </c>
      <c r="BW38" t="s">
        <v>129</v>
      </c>
    </row>
    <row r="39" spans="1:75" ht="14.5" customHeight="1" thickBot="1" x14ac:dyDescent="0.4">
      <c r="AP39" s="116">
        <f t="shared" si="6"/>
        <v>2003</v>
      </c>
      <c r="AQ39" s="117">
        <f>T50</f>
        <v>315919591</v>
      </c>
      <c r="AS39" s="180"/>
      <c r="AU39" s="8"/>
      <c r="AV39" s="9"/>
      <c r="AW39" s="9"/>
      <c r="AX39" s="9"/>
      <c r="AY39" s="9"/>
      <c r="AZ39" s="9"/>
      <c r="BV39" t="s">
        <v>130</v>
      </c>
      <c r="BW39" t="s">
        <v>131</v>
      </c>
    </row>
    <row r="40" spans="1:75" ht="15" thickBot="1" x14ac:dyDescent="0.4">
      <c r="A40" s="172" t="s">
        <v>132</v>
      </c>
      <c r="B40" s="173"/>
      <c r="C40" s="164" t="s">
        <v>1</v>
      </c>
      <c r="D40" s="158"/>
      <c r="E40" s="158"/>
      <c r="F40" s="158"/>
      <c r="G40" s="158"/>
      <c r="H40" s="158"/>
      <c r="I40" s="158"/>
      <c r="J40" s="158"/>
      <c r="K40" s="158"/>
      <c r="L40" s="158"/>
      <c r="M40" s="158"/>
      <c r="N40" s="158"/>
      <c r="O40" s="158"/>
      <c r="P40" s="158"/>
      <c r="Q40" s="158"/>
      <c r="R40" s="158"/>
      <c r="S40" s="158"/>
      <c r="T40" s="158"/>
      <c r="U40" s="158"/>
      <c r="V40" s="158"/>
      <c r="W40" s="158"/>
      <c r="X40" s="158"/>
      <c r="Y40" s="158"/>
      <c r="Z40" s="158"/>
      <c r="AA40" s="158"/>
      <c r="AB40" s="158"/>
      <c r="AC40" s="158"/>
      <c r="AD40" s="158"/>
      <c r="AE40" s="158"/>
      <c r="AF40" s="158"/>
      <c r="AG40" s="158"/>
      <c r="AH40" s="158"/>
      <c r="AI40" s="158"/>
      <c r="AJ40" s="158"/>
      <c r="AK40" s="158"/>
      <c r="AL40" s="158"/>
      <c r="AM40" s="158"/>
      <c r="AN40" s="3"/>
      <c r="AP40" s="116">
        <f t="shared" si="6"/>
        <v>2004</v>
      </c>
      <c r="AQ40" s="117">
        <f>U50</f>
        <v>349201821</v>
      </c>
      <c r="AS40" s="180"/>
      <c r="BJ40">
        <f>BJ38*10^-6</f>
        <v>424.44696899999997</v>
      </c>
      <c r="BV40" t="s">
        <v>133</v>
      </c>
      <c r="BW40" t="s">
        <v>134</v>
      </c>
    </row>
    <row r="41" spans="1:75" ht="14.5" customHeight="1" x14ac:dyDescent="0.35">
      <c r="A41" s="174"/>
      <c r="B41" s="175"/>
      <c r="C41" s="8"/>
      <c r="D41" s="178" t="s">
        <v>4</v>
      </c>
      <c r="E41" s="178" t="s">
        <v>5</v>
      </c>
      <c r="F41" s="178" t="s">
        <v>6</v>
      </c>
      <c r="G41" s="178" t="s">
        <v>7</v>
      </c>
      <c r="H41" s="178" t="s">
        <v>8</v>
      </c>
      <c r="I41" s="178" t="s">
        <v>9</v>
      </c>
      <c r="J41" s="178" t="s">
        <v>10</v>
      </c>
      <c r="K41" s="178" t="s">
        <v>11</v>
      </c>
      <c r="L41" s="178" t="s">
        <v>12</v>
      </c>
      <c r="M41" s="178" t="s">
        <v>13</v>
      </c>
      <c r="N41" s="178" t="s">
        <v>14</v>
      </c>
      <c r="O41" s="178" t="s">
        <v>15</v>
      </c>
      <c r="P41" s="178" t="s">
        <v>16</v>
      </c>
      <c r="Q41" s="178" t="s">
        <v>17</v>
      </c>
      <c r="R41" s="178" t="s">
        <v>18</v>
      </c>
      <c r="S41" s="178" t="s">
        <v>19</v>
      </c>
      <c r="T41" s="178" t="s">
        <v>20</v>
      </c>
      <c r="U41" s="178" t="s">
        <v>21</v>
      </c>
      <c r="V41" s="178" t="s">
        <v>22</v>
      </c>
      <c r="W41" s="178" t="s">
        <v>23</v>
      </c>
      <c r="X41" s="178" t="s">
        <v>24</v>
      </c>
      <c r="Y41" s="178" t="s">
        <v>25</v>
      </c>
      <c r="Z41" s="178" t="s">
        <v>26</v>
      </c>
      <c r="AA41" s="178" t="s">
        <v>27</v>
      </c>
      <c r="AB41" s="178" t="s">
        <v>28</v>
      </c>
      <c r="AC41" s="178" t="s">
        <v>29</v>
      </c>
      <c r="AD41" s="178" t="s">
        <v>30</v>
      </c>
      <c r="AE41" s="178" t="s">
        <v>31</v>
      </c>
      <c r="AF41" s="178" t="s">
        <v>32</v>
      </c>
      <c r="AG41" s="178" t="s">
        <v>33</v>
      </c>
      <c r="AH41" s="178" t="s">
        <v>34</v>
      </c>
      <c r="AI41" s="178" t="s">
        <v>35</v>
      </c>
      <c r="AJ41" s="178" t="s">
        <v>36</v>
      </c>
      <c r="AK41" s="178" t="s">
        <v>37</v>
      </c>
      <c r="AL41" s="178" t="s">
        <v>38</v>
      </c>
      <c r="AM41" s="178" t="s">
        <v>39</v>
      </c>
      <c r="AN41" s="178" t="s">
        <v>40</v>
      </c>
      <c r="AP41" s="116">
        <f t="shared" si="6"/>
        <v>2005</v>
      </c>
      <c r="AQ41" s="117">
        <f>V50</f>
        <v>361817983</v>
      </c>
      <c r="AS41" s="180"/>
    </row>
    <row r="42" spans="1:75" ht="15" thickBot="1" x14ac:dyDescent="0.4">
      <c r="A42" s="176"/>
      <c r="B42" s="177"/>
      <c r="C42" s="8"/>
      <c r="D42" s="179"/>
      <c r="E42" s="179"/>
      <c r="F42" s="179"/>
      <c r="G42" s="179"/>
      <c r="H42" s="179"/>
      <c r="I42" s="179"/>
      <c r="J42" s="179"/>
      <c r="K42" s="179"/>
      <c r="L42" s="179"/>
      <c r="M42" s="179"/>
      <c r="N42" s="179"/>
      <c r="O42" s="179"/>
      <c r="P42" s="179"/>
      <c r="Q42" s="179"/>
      <c r="R42" s="179"/>
      <c r="S42" s="179"/>
      <c r="T42" s="179"/>
      <c r="U42" s="179"/>
      <c r="V42" s="179"/>
      <c r="W42" s="179"/>
      <c r="X42" s="179"/>
      <c r="Y42" s="179"/>
      <c r="Z42" s="179"/>
      <c r="AA42" s="179"/>
      <c r="AB42" s="179"/>
      <c r="AC42" s="179"/>
      <c r="AD42" s="179"/>
      <c r="AE42" s="179"/>
      <c r="AF42" s="179"/>
      <c r="AG42" s="179"/>
      <c r="AH42" s="179"/>
      <c r="AI42" s="179"/>
      <c r="AJ42" s="179"/>
      <c r="AK42" s="179"/>
      <c r="AL42" s="179"/>
      <c r="AM42" s="179"/>
      <c r="AN42" s="179"/>
      <c r="AP42" s="116">
        <f t="shared" si="6"/>
        <v>2006</v>
      </c>
      <c r="AQ42" s="117">
        <f>W50</f>
        <v>378447663</v>
      </c>
      <c r="AS42" s="180"/>
    </row>
    <row r="43" spans="1:75" ht="15" thickBot="1" x14ac:dyDescent="0.4">
      <c r="A43" s="4"/>
      <c r="B43" s="168" t="s">
        <v>53</v>
      </c>
      <c r="C43" s="5" t="s">
        <v>135</v>
      </c>
      <c r="D43" s="1">
        <v>0</v>
      </c>
      <c r="E43" s="1">
        <v>0</v>
      </c>
      <c r="F43" s="1">
        <v>0</v>
      </c>
      <c r="G43" s="1">
        <v>0</v>
      </c>
      <c r="H43" s="1">
        <v>37128555</v>
      </c>
      <c r="I43" s="1">
        <v>42044812</v>
      </c>
      <c r="J43" s="1">
        <v>46078675</v>
      </c>
      <c r="K43" s="1">
        <v>48235537</v>
      </c>
      <c r="L43" s="1">
        <v>50465593</v>
      </c>
      <c r="M43" s="1">
        <v>52907246</v>
      </c>
      <c r="N43" s="1">
        <v>54528572</v>
      </c>
      <c r="O43" s="1">
        <v>60958527</v>
      </c>
      <c r="P43" s="1">
        <v>67187894</v>
      </c>
      <c r="Q43" s="1">
        <v>74266433</v>
      </c>
      <c r="R43" s="1">
        <v>82197119</v>
      </c>
      <c r="S43" s="1">
        <v>93784018</v>
      </c>
      <c r="T43" s="1">
        <v>105845752</v>
      </c>
      <c r="U43" s="1">
        <v>127694224</v>
      </c>
      <c r="V43" s="1">
        <v>132072865</v>
      </c>
      <c r="W43" s="1">
        <v>137306861</v>
      </c>
      <c r="X43" s="1">
        <v>146114870</v>
      </c>
      <c r="Y43" s="1">
        <v>153273821</v>
      </c>
      <c r="Z43" s="1">
        <v>151568913</v>
      </c>
      <c r="AA43" s="1">
        <v>154448573</v>
      </c>
      <c r="AB43" s="1">
        <v>153006231</v>
      </c>
      <c r="AC43" s="1">
        <v>142461771</v>
      </c>
      <c r="AD43" s="1">
        <v>137287581</v>
      </c>
      <c r="AE43" s="1">
        <v>139638342</v>
      </c>
      <c r="AF43" s="1">
        <v>141875474</v>
      </c>
      <c r="AG43" s="1">
        <v>146130823</v>
      </c>
      <c r="AH43" s="1">
        <v>149215467</v>
      </c>
      <c r="AI43" s="1">
        <v>154924408</v>
      </c>
      <c r="AJ43" s="1">
        <v>156643778</v>
      </c>
      <c r="AK43" s="1">
        <v>135413834</v>
      </c>
      <c r="AL43" s="1">
        <v>149903405</v>
      </c>
      <c r="AM43" s="1">
        <v>160706084</v>
      </c>
      <c r="AN43" s="1">
        <v>109377938</v>
      </c>
      <c r="AP43" s="116">
        <f t="shared" si="6"/>
        <v>2007</v>
      </c>
      <c r="AQ43" s="117">
        <f>X50</f>
        <v>394371527</v>
      </c>
      <c r="AS43" s="180"/>
    </row>
    <row r="44" spans="1:75" ht="15" thickBot="1" x14ac:dyDescent="0.4">
      <c r="A44" s="4"/>
      <c r="B44" s="169"/>
      <c r="C44" s="5" t="s">
        <v>136</v>
      </c>
      <c r="D44" s="2" t="s">
        <v>57</v>
      </c>
      <c r="E44" s="2" t="s">
        <v>57</v>
      </c>
      <c r="F44" s="2" t="s">
        <v>57</v>
      </c>
      <c r="G44" s="2" t="s">
        <v>57</v>
      </c>
      <c r="H44" s="2" t="s">
        <v>57</v>
      </c>
      <c r="I44" s="2" t="s">
        <v>57</v>
      </c>
      <c r="J44" s="2" t="s">
        <v>57</v>
      </c>
      <c r="K44" s="2" t="s">
        <v>57</v>
      </c>
      <c r="L44" s="2" t="s">
        <v>57</v>
      </c>
      <c r="M44" s="2" t="s">
        <v>57</v>
      </c>
      <c r="N44" s="2" t="s">
        <v>57</v>
      </c>
      <c r="O44" s="2" t="s">
        <v>57</v>
      </c>
      <c r="P44" s="2" t="s">
        <v>57</v>
      </c>
      <c r="Q44" s="2" t="s">
        <v>57</v>
      </c>
      <c r="R44" s="2" t="s">
        <v>57</v>
      </c>
      <c r="S44" s="2" t="s">
        <v>57</v>
      </c>
      <c r="T44" s="2" t="s">
        <v>57</v>
      </c>
      <c r="U44" s="2" t="s">
        <v>57</v>
      </c>
      <c r="V44" s="1">
        <v>1015805</v>
      </c>
      <c r="W44" s="1">
        <v>1158170</v>
      </c>
      <c r="X44" s="1">
        <v>1200304</v>
      </c>
      <c r="Y44" s="1">
        <v>1304744</v>
      </c>
      <c r="Z44" s="1">
        <v>1222680</v>
      </c>
      <c r="AA44" s="1">
        <v>1139895</v>
      </c>
      <c r="AB44" s="1">
        <v>1002377</v>
      </c>
      <c r="AC44" s="1">
        <v>1014359</v>
      </c>
      <c r="AD44" s="1">
        <v>973612</v>
      </c>
      <c r="AE44" s="1">
        <v>1156955</v>
      </c>
      <c r="AF44" s="1">
        <v>1094080</v>
      </c>
      <c r="AG44" s="1">
        <v>1228940</v>
      </c>
      <c r="AH44" s="1">
        <v>1165938</v>
      </c>
      <c r="AI44" s="1">
        <v>1159694</v>
      </c>
      <c r="AJ44" s="1">
        <v>1159233</v>
      </c>
      <c r="AK44" s="1">
        <v>1245751</v>
      </c>
      <c r="AL44" s="1">
        <v>1482759</v>
      </c>
      <c r="AM44" s="1">
        <v>1254364</v>
      </c>
      <c r="AN44" s="1">
        <v>707821</v>
      </c>
      <c r="AP44" s="116">
        <f t="shared" si="6"/>
        <v>2008</v>
      </c>
      <c r="AQ44" s="117">
        <f>Y50</f>
        <v>407488676</v>
      </c>
      <c r="AS44" s="180"/>
    </row>
    <row r="45" spans="1:75" ht="15" thickBot="1" x14ac:dyDescent="0.4">
      <c r="A45" s="4"/>
      <c r="B45" s="169"/>
      <c r="C45" s="5" t="s">
        <v>113</v>
      </c>
      <c r="D45" s="1">
        <v>0</v>
      </c>
      <c r="E45" s="1">
        <v>0</v>
      </c>
      <c r="F45" s="1">
        <v>0</v>
      </c>
      <c r="G45" s="1">
        <v>0</v>
      </c>
      <c r="H45" s="1">
        <v>53361427</v>
      </c>
      <c r="I45" s="1">
        <v>58225695</v>
      </c>
      <c r="J45" s="1">
        <v>61079541</v>
      </c>
      <c r="K45" s="1">
        <v>63701135</v>
      </c>
      <c r="L45" s="1">
        <v>64749612</v>
      </c>
      <c r="M45" s="1">
        <v>69022777</v>
      </c>
      <c r="N45" s="1">
        <v>72731569</v>
      </c>
      <c r="O45" s="1">
        <v>76991810</v>
      </c>
      <c r="P45" s="1">
        <v>80785821</v>
      </c>
      <c r="Q45" s="1">
        <v>86169105</v>
      </c>
      <c r="R45" s="1">
        <v>93416266</v>
      </c>
      <c r="S45" s="1">
        <v>98881594</v>
      </c>
      <c r="T45" s="1">
        <v>105565215</v>
      </c>
      <c r="U45" s="1">
        <v>111512391</v>
      </c>
      <c r="V45" s="1">
        <v>117458768</v>
      </c>
      <c r="W45" s="1">
        <v>123692204</v>
      </c>
      <c r="X45" s="1">
        <v>127765352</v>
      </c>
      <c r="Y45" s="1">
        <v>131877909</v>
      </c>
      <c r="Z45" s="1">
        <v>133376752</v>
      </c>
      <c r="AA45" s="1">
        <v>140708120</v>
      </c>
      <c r="AB45" s="1">
        <v>138752682</v>
      </c>
      <c r="AC45" s="1">
        <v>129136324</v>
      </c>
      <c r="AD45" s="1">
        <v>129079430</v>
      </c>
      <c r="AE45" s="1">
        <v>127882699</v>
      </c>
      <c r="AF45" s="1">
        <v>126705323</v>
      </c>
      <c r="AG45" s="1">
        <v>128447007</v>
      </c>
      <c r="AH45" s="1">
        <v>128569159</v>
      </c>
      <c r="AI45" s="1">
        <v>129780594</v>
      </c>
      <c r="AJ45" s="1">
        <v>132821221</v>
      </c>
      <c r="AK45" s="1">
        <v>139377430</v>
      </c>
      <c r="AL45" s="1">
        <v>146470053</v>
      </c>
      <c r="AM45" s="1">
        <v>147358073</v>
      </c>
      <c r="AN45" s="1">
        <v>102203475</v>
      </c>
      <c r="AP45" s="116">
        <f t="shared" si="6"/>
        <v>2009</v>
      </c>
      <c r="AQ45" s="117">
        <f>Z50</f>
        <v>406974192</v>
      </c>
      <c r="AS45" s="180"/>
    </row>
    <row r="46" spans="1:75" ht="15" thickBot="1" x14ac:dyDescent="0.4">
      <c r="A46" s="4"/>
      <c r="B46" s="169"/>
      <c r="C46" s="5" t="s">
        <v>137</v>
      </c>
      <c r="D46" s="1">
        <v>0</v>
      </c>
      <c r="E46" s="1">
        <v>0</v>
      </c>
      <c r="F46" s="1">
        <v>0</v>
      </c>
      <c r="G46" s="1">
        <v>0</v>
      </c>
      <c r="H46" s="1">
        <v>4741139</v>
      </c>
      <c r="I46" s="1">
        <v>5837671</v>
      </c>
      <c r="J46" s="1">
        <v>6731118</v>
      </c>
      <c r="K46" s="1">
        <v>6765215</v>
      </c>
      <c r="L46" s="1">
        <v>7067177</v>
      </c>
      <c r="M46" s="1">
        <v>7739726</v>
      </c>
      <c r="N46" s="1">
        <v>7918027</v>
      </c>
      <c r="O46" s="1">
        <v>8156580</v>
      </c>
      <c r="P46" s="1">
        <v>8324356</v>
      </c>
      <c r="Q46" s="1">
        <v>9077859</v>
      </c>
      <c r="R46" s="1">
        <v>9804189</v>
      </c>
      <c r="S46" s="1">
        <v>11170777</v>
      </c>
      <c r="T46" s="1">
        <v>11597516</v>
      </c>
      <c r="U46" s="1">
        <v>13896052</v>
      </c>
      <c r="V46" s="1">
        <v>14135603</v>
      </c>
      <c r="W46" s="1">
        <v>15303836</v>
      </c>
      <c r="X46" s="1">
        <v>15339290</v>
      </c>
      <c r="Y46" s="1">
        <v>16483217</v>
      </c>
      <c r="Z46" s="1">
        <v>17170009</v>
      </c>
      <c r="AA46" s="1">
        <v>16280557</v>
      </c>
      <c r="AB46" s="1">
        <v>16932389</v>
      </c>
      <c r="AC46" s="1">
        <v>16235135</v>
      </c>
      <c r="AD46" s="1">
        <v>14987772</v>
      </c>
      <c r="AE46" s="1">
        <v>15779231</v>
      </c>
      <c r="AF46" s="1">
        <v>16209807</v>
      </c>
      <c r="AG46" s="1">
        <v>16263857</v>
      </c>
      <c r="AH46" s="1">
        <v>16105945</v>
      </c>
      <c r="AI46" s="1">
        <v>15986763</v>
      </c>
      <c r="AJ46" s="1">
        <v>15112547</v>
      </c>
      <c r="AK46" s="1">
        <v>13778666</v>
      </c>
      <c r="AL46" s="1">
        <v>12249783</v>
      </c>
      <c r="AM46" s="1">
        <v>10302114</v>
      </c>
      <c r="AN46" s="1">
        <v>5507834</v>
      </c>
      <c r="AP46" s="116">
        <f t="shared" si="6"/>
        <v>2010</v>
      </c>
      <c r="AQ46" s="117">
        <f>AA50</f>
        <v>417516256</v>
      </c>
      <c r="AS46" s="180"/>
    </row>
    <row r="47" spans="1:75" ht="15" thickBot="1" x14ac:dyDescent="0.4">
      <c r="A47" s="4"/>
      <c r="B47" s="169"/>
      <c r="C47" s="5" t="s">
        <v>119</v>
      </c>
      <c r="D47" s="1">
        <v>0</v>
      </c>
      <c r="E47" s="1">
        <v>0</v>
      </c>
      <c r="F47" s="1">
        <v>0</v>
      </c>
      <c r="G47" s="1">
        <v>0</v>
      </c>
      <c r="H47" s="1">
        <v>36073679</v>
      </c>
      <c r="I47" s="1">
        <v>36294036</v>
      </c>
      <c r="J47" s="1">
        <v>35154902</v>
      </c>
      <c r="K47" s="1">
        <v>34808259</v>
      </c>
      <c r="L47" s="1">
        <v>36904441</v>
      </c>
      <c r="M47" s="1">
        <v>39961200</v>
      </c>
      <c r="N47" s="1">
        <v>42547255</v>
      </c>
      <c r="O47" s="1">
        <v>49400320</v>
      </c>
      <c r="P47" s="1">
        <v>52870672</v>
      </c>
      <c r="Q47" s="1">
        <v>57273332</v>
      </c>
      <c r="R47" s="1">
        <v>60447229</v>
      </c>
      <c r="S47" s="1">
        <v>65726532</v>
      </c>
      <c r="T47" s="1">
        <v>69167990</v>
      </c>
      <c r="U47" s="1">
        <v>68708790</v>
      </c>
      <c r="V47" s="1">
        <v>67715526</v>
      </c>
      <c r="W47" s="1">
        <v>71147188</v>
      </c>
      <c r="X47" s="1">
        <v>75536783</v>
      </c>
      <c r="Y47" s="1">
        <v>74881744</v>
      </c>
      <c r="Z47" s="1">
        <v>73899430</v>
      </c>
      <c r="AA47" s="1">
        <v>74905826</v>
      </c>
      <c r="AB47" s="1">
        <v>74811988</v>
      </c>
      <c r="AC47" s="1">
        <v>69752352</v>
      </c>
      <c r="AD47" s="1">
        <v>69475962</v>
      </c>
      <c r="AE47" s="1">
        <v>70988954</v>
      </c>
      <c r="AF47" s="1">
        <v>75627413</v>
      </c>
      <c r="AG47" s="1">
        <v>77938788</v>
      </c>
      <c r="AH47" s="1">
        <v>78655082</v>
      </c>
      <c r="AI47" s="1">
        <v>80373530</v>
      </c>
      <c r="AJ47" s="1">
        <v>80224537</v>
      </c>
      <c r="AK47" s="1">
        <v>81008974</v>
      </c>
      <c r="AL47" s="1">
        <v>82999472</v>
      </c>
      <c r="AM47" s="1">
        <v>78520061</v>
      </c>
      <c r="AN47" s="1">
        <v>55593832</v>
      </c>
      <c r="AP47" s="116">
        <f t="shared" si="6"/>
        <v>2011</v>
      </c>
      <c r="AQ47" s="117">
        <f>AB50</f>
        <v>413689459</v>
      </c>
      <c r="AS47" s="180"/>
    </row>
    <row r="48" spans="1:75" ht="15" thickBot="1" x14ac:dyDescent="0.4">
      <c r="A48" s="4"/>
      <c r="B48" s="169"/>
      <c r="C48" s="5" t="s">
        <v>138</v>
      </c>
      <c r="D48" s="2" t="s">
        <v>57</v>
      </c>
      <c r="E48" s="2" t="s">
        <v>57</v>
      </c>
      <c r="F48" s="2" t="s">
        <v>57</v>
      </c>
      <c r="G48" s="2" t="s">
        <v>57</v>
      </c>
      <c r="H48" s="2" t="s">
        <v>57</v>
      </c>
      <c r="I48" s="2" t="s">
        <v>57</v>
      </c>
      <c r="J48" s="2" t="s">
        <v>57</v>
      </c>
      <c r="K48" s="2" t="s">
        <v>57</v>
      </c>
      <c r="L48" s="2" t="s">
        <v>57</v>
      </c>
      <c r="M48" s="2" t="s">
        <v>57</v>
      </c>
      <c r="N48" s="2" t="s">
        <v>57</v>
      </c>
      <c r="O48" s="2" t="s">
        <v>57</v>
      </c>
      <c r="P48" s="2" t="s">
        <v>57</v>
      </c>
      <c r="Q48" s="2" t="s">
        <v>57</v>
      </c>
      <c r="R48" s="2" t="s">
        <v>57</v>
      </c>
      <c r="S48" s="2" t="s">
        <v>57</v>
      </c>
      <c r="T48" s="2" t="s">
        <v>57</v>
      </c>
      <c r="U48" s="2" t="s">
        <v>57</v>
      </c>
      <c r="V48" s="2" t="s">
        <v>57</v>
      </c>
      <c r="W48" s="2" t="s">
        <v>57</v>
      </c>
      <c r="X48" s="2" t="s">
        <v>57</v>
      </c>
      <c r="Y48" s="2" t="s">
        <v>57</v>
      </c>
      <c r="Z48" s="2" t="s">
        <v>57</v>
      </c>
      <c r="AA48" s="2" t="s">
        <v>57</v>
      </c>
      <c r="AB48" s="2" t="s">
        <v>57</v>
      </c>
      <c r="AC48" s="2" t="s">
        <v>57</v>
      </c>
      <c r="AD48" s="2" t="s">
        <v>57</v>
      </c>
      <c r="AE48" s="2" t="s">
        <v>57</v>
      </c>
      <c r="AF48" s="2" t="s">
        <v>57</v>
      </c>
      <c r="AG48" s="2" t="s">
        <v>57</v>
      </c>
      <c r="AH48" s="2" t="s">
        <v>57</v>
      </c>
      <c r="AI48" s="2" t="s">
        <v>57</v>
      </c>
      <c r="AJ48" s="2" t="s">
        <v>57</v>
      </c>
      <c r="AK48" s="2" t="s">
        <v>57</v>
      </c>
      <c r="AL48" s="1">
        <v>78554</v>
      </c>
      <c r="AM48" s="1">
        <v>66621</v>
      </c>
      <c r="AN48" s="1">
        <v>45663</v>
      </c>
      <c r="AP48" s="116">
        <f t="shared" si="6"/>
        <v>2012</v>
      </c>
      <c r="AQ48" s="117">
        <f>AC50</f>
        <v>386340277</v>
      </c>
      <c r="AS48" s="180"/>
    </row>
    <row r="49" spans="1:120" ht="15" thickBot="1" x14ac:dyDescent="0.4">
      <c r="A49" s="4"/>
      <c r="B49" s="170"/>
      <c r="C49" s="5" t="s">
        <v>139</v>
      </c>
      <c r="D49" s="1">
        <v>0</v>
      </c>
      <c r="E49" s="1">
        <v>0</v>
      </c>
      <c r="F49" s="1">
        <v>0</v>
      </c>
      <c r="G49" s="1">
        <v>0</v>
      </c>
      <c r="H49" s="1">
        <v>11368546</v>
      </c>
      <c r="I49" s="1">
        <v>11851187</v>
      </c>
      <c r="J49" s="1">
        <v>12205302</v>
      </c>
      <c r="K49" s="1">
        <v>12911069</v>
      </c>
      <c r="L49" s="1">
        <v>12651360</v>
      </c>
      <c r="M49" s="1">
        <v>15044834</v>
      </c>
      <c r="N49" s="1">
        <v>15733131</v>
      </c>
      <c r="O49" s="1">
        <v>17838568</v>
      </c>
      <c r="P49" s="1">
        <v>19907184</v>
      </c>
      <c r="Q49" s="1">
        <v>23012247</v>
      </c>
      <c r="R49" s="1">
        <v>24888930</v>
      </c>
      <c r="S49" s="1">
        <v>26735432</v>
      </c>
      <c r="T49" s="1">
        <v>23743118</v>
      </c>
      <c r="U49" s="1">
        <v>27390364</v>
      </c>
      <c r="V49" s="1">
        <v>29419416</v>
      </c>
      <c r="W49" s="1">
        <v>29839404</v>
      </c>
      <c r="X49" s="1">
        <v>28414928</v>
      </c>
      <c r="Y49" s="1">
        <v>29667241</v>
      </c>
      <c r="Z49" s="1">
        <v>29736408</v>
      </c>
      <c r="AA49" s="1">
        <v>30033285</v>
      </c>
      <c r="AB49" s="1">
        <v>29183793</v>
      </c>
      <c r="AC49" s="1">
        <v>27740336</v>
      </c>
      <c r="AD49" s="1">
        <v>27452670</v>
      </c>
      <c r="AE49" s="1">
        <v>28367926</v>
      </c>
      <c r="AF49" s="1">
        <v>28950088</v>
      </c>
      <c r="AG49" s="1">
        <v>29939363</v>
      </c>
      <c r="AH49" s="1">
        <v>29212436</v>
      </c>
      <c r="AI49" s="1">
        <v>28894240</v>
      </c>
      <c r="AJ49" s="1">
        <v>28266499</v>
      </c>
      <c r="AK49" s="1">
        <v>25477669</v>
      </c>
      <c r="AL49" s="1">
        <v>26593326</v>
      </c>
      <c r="AM49" s="1">
        <v>26239652</v>
      </c>
      <c r="AN49" s="1">
        <v>17678365</v>
      </c>
      <c r="AP49" s="116">
        <f t="shared" si="6"/>
        <v>2013</v>
      </c>
      <c r="AQ49" s="117">
        <f>AD50</f>
        <v>379257027</v>
      </c>
      <c r="AS49" s="180"/>
    </row>
    <row r="50" spans="1:120" ht="15" thickBot="1" x14ac:dyDescent="0.4">
      <c r="A50" s="6"/>
      <c r="B50" s="158" t="s">
        <v>87</v>
      </c>
      <c r="C50" s="159"/>
      <c r="D50" s="7">
        <v>0</v>
      </c>
      <c r="E50" s="7">
        <v>0</v>
      </c>
      <c r="F50" s="7">
        <v>0</v>
      </c>
      <c r="G50" s="7">
        <v>0</v>
      </c>
      <c r="H50" s="7">
        <v>142673346</v>
      </c>
      <c r="I50" s="7">
        <v>154253401</v>
      </c>
      <c r="J50" s="7">
        <v>161249538</v>
      </c>
      <c r="K50" s="7">
        <v>166421215</v>
      </c>
      <c r="L50" s="7">
        <v>171838183</v>
      </c>
      <c r="M50" s="7">
        <v>184675783</v>
      </c>
      <c r="N50" s="7">
        <v>193458554</v>
      </c>
      <c r="O50" s="7">
        <v>213345805</v>
      </c>
      <c r="P50" s="7">
        <v>229075927</v>
      </c>
      <c r="Q50" s="7">
        <v>249798976</v>
      </c>
      <c r="R50" s="7">
        <v>270753733</v>
      </c>
      <c r="S50" s="7">
        <v>296298353</v>
      </c>
      <c r="T50" s="7">
        <v>315919591</v>
      </c>
      <c r="U50" s="7">
        <v>349201821</v>
      </c>
      <c r="V50" s="7">
        <v>361817983</v>
      </c>
      <c r="W50" s="7">
        <v>378447663</v>
      </c>
      <c r="X50" s="7">
        <v>394371527</v>
      </c>
      <c r="Y50" s="7">
        <v>407488676</v>
      </c>
      <c r="Z50" s="7">
        <v>406974192</v>
      </c>
      <c r="AA50" s="7">
        <v>417516256</v>
      </c>
      <c r="AB50" s="7">
        <v>413689459</v>
      </c>
      <c r="AC50" s="7">
        <v>386340277</v>
      </c>
      <c r="AD50" s="7">
        <v>379257027</v>
      </c>
      <c r="AE50" s="7">
        <v>383814107</v>
      </c>
      <c r="AF50" s="7">
        <v>390462185</v>
      </c>
      <c r="AG50" s="7">
        <v>399948778</v>
      </c>
      <c r="AH50" s="7">
        <v>402924026</v>
      </c>
      <c r="AI50" s="7">
        <v>411119229</v>
      </c>
      <c r="AJ50" s="7">
        <v>414227815</v>
      </c>
      <c r="AK50" s="7">
        <v>396302324</v>
      </c>
      <c r="AL50" s="7">
        <v>419777352</v>
      </c>
      <c r="AM50" s="7">
        <v>424446969</v>
      </c>
      <c r="AN50" s="7">
        <v>291114928</v>
      </c>
      <c r="AP50" s="116">
        <f t="shared" si="6"/>
        <v>2014</v>
      </c>
      <c r="AQ50" s="117">
        <f>AE50</f>
        <v>383814107</v>
      </c>
      <c r="AS50" s="180"/>
    </row>
    <row r="51" spans="1:120" ht="14.5" customHeight="1" thickBot="1" x14ac:dyDescent="0.4">
      <c r="A51" s="8"/>
      <c r="B51" s="9"/>
      <c r="C51" s="9"/>
      <c r="D51" s="9"/>
      <c r="E51" s="9"/>
      <c r="F51" s="9"/>
      <c r="AP51" s="116">
        <f t="shared" si="6"/>
        <v>2015</v>
      </c>
      <c r="AQ51" s="117">
        <f>AF50</f>
        <v>390462185</v>
      </c>
    </row>
    <row r="52" spans="1:120" ht="15" thickBot="1" x14ac:dyDescent="0.4">
      <c r="F52" s="8"/>
      <c r="AM52" s="5" t="s">
        <v>135</v>
      </c>
      <c r="AN52" s="125">
        <f>AM43/$AM$50</f>
        <v>0.37862464745271862</v>
      </c>
      <c r="AP52" s="116">
        <f t="shared" si="6"/>
        <v>2016</v>
      </c>
      <c r="AQ52" s="117">
        <f>AG50</f>
        <v>399948778</v>
      </c>
    </row>
    <row r="53" spans="1:120" ht="15" thickBot="1" x14ac:dyDescent="0.4">
      <c r="AM53" s="5" t="s">
        <v>136</v>
      </c>
      <c r="AN53" s="125">
        <f t="shared" ref="AN53:AN58" si="7">AM44/$AM$50</f>
        <v>2.9552902756150908E-3</v>
      </c>
      <c r="AP53" s="116">
        <f t="shared" si="6"/>
        <v>2017</v>
      </c>
      <c r="AQ53" s="117">
        <f>AH50</f>
        <v>402924026</v>
      </c>
    </row>
    <row r="54" spans="1:120" ht="15" thickBot="1" x14ac:dyDescent="0.4">
      <c r="AM54" s="5" t="s">
        <v>113</v>
      </c>
      <c r="AN54" s="125">
        <f t="shared" si="7"/>
        <v>0.34717664104699969</v>
      </c>
      <c r="AP54" s="116">
        <f t="shared" si="6"/>
        <v>2018</v>
      </c>
      <c r="AQ54" s="117">
        <f>AI50</f>
        <v>411119229</v>
      </c>
    </row>
    <row r="55" spans="1:120" ht="15" thickBot="1" x14ac:dyDescent="0.4">
      <c r="AM55" s="5" t="s">
        <v>137</v>
      </c>
      <c r="AN55" s="125">
        <f t="shared" si="7"/>
        <v>2.4271851968390427E-2</v>
      </c>
      <c r="AP55" s="116">
        <f t="shared" si="6"/>
        <v>2019</v>
      </c>
      <c r="AQ55" s="117">
        <f>AJ50</f>
        <v>414227815</v>
      </c>
    </row>
    <row r="56" spans="1:120" ht="15" thickBot="1" x14ac:dyDescent="0.4">
      <c r="AM56" s="5" t="s">
        <v>119</v>
      </c>
      <c r="AN56" s="125">
        <f t="shared" si="7"/>
        <v>0.18499380778944849</v>
      </c>
      <c r="AO56" t="s">
        <v>490</v>
      </c>
      <c r="AP56" s="116">
        <f t="shared" si="6"/>
        <v>2020</v>
      </c>
      <c r="AQ56" s="117">
        <f>AK50</f>
        <v>396302324</v>
      </c>
    </row>
    <row r="57" spans="1:120" ht="15" thickBot="1" x14ac:dyDescent="0.4">
      <c r="AM57" s="5" t="s">
        <v>138</v>
      </c>
      <c r="AN57" s="125">
        <f t="shared" si="7"/>
        <v>1.569595376236507E-4</v>
      </c>
      <c r="AP57" s="116">
        <f t="shared" si="6"/>
        <v>2021</v>
      </c>
      <c r="AQ57" s="117">
        <f>AL50</f>
        <v>419777352</v>
      </c>
    </row>
    <row r="58" spans="1:120" ht="15" thickBot="1" x14ac:dyDescent="0.4">
      <c r="AM58" s="5" t="s">
        <v>139</v>
      </c>
      <c r="AN58" s="125">
        <f t="shared" si="7"/>
        <v>6.1820801929204021E-2</v>
      </c>
      <c r="AP58" s="116">
        <f t="shared" si="6"/>
        <v>2022</v>
      </c>
      <c r="AQ58" s="116">
        <f>AM50</f>
        <v>424446969</v>
      </c>
    </row>
    <row r="60" spans="1:120" x14ac:dyDescent="0.35">
      <c r="AQ60">
        <f>AQ58*10^-6</f>
        <v>424.44696899999997</v>
      </c>
    </row>
    <row r="61" spans="1:120" ht="15" thickBot="1" x14ac:dyDescent="0.4">
      <c r="AM61">
        <f>AM48*10^-3</f>
        <v>66.620999999999995</v>
      </c>
      <c r="BJ61" s="22"/>
      <c r="BL61"/>
      <c r="BY61">
        <f>(68+48)/2</f>
        <v>58</v>
      </c>
    </row>
    <row r="62" spans="1:120" ht="15" thickBot="1" x14ac:dyDescent="0.4">
      <c r="DC62" s="31"/>
      <c r="DD62" s="32"/>
      <c r="DE62" s="32"/>
      <c r="DF62" s="32"/>
      <c r="DG62" s="32"/>
      <c r="DH62" s="32"/>
      <c r="DI62" s="32"/>
      <c r="DJ62" s="32"/>
      <c r="DK62" s="32"/>
      <c r="DL62" s="32"/>
      <c r="DM62" s="32"/>
      <c r="DN62" s="32"/>
      <c r="DO62" s="36"/>
      <c r="DP62" s="3"/>
    </row>
    <row r="63" spans="1:120" x14ac:dyDescent="0.35">
      <c r="CK63" s="29" t="s">
        <v>140</v>
      </c>
      <c r="CL63" s="32"/>
      <c r="CM63" s="32"/>
      <c r="CN63" s="32"/>
      <c r="CO63" s="32"/>
      <c r="CP63" s="32"/>
      <c r="CQ63" s="32"/>
      <c r="CR63" s="32" t="s">
        <v>141</v>
      </c>
      <c r="CS63" s="32"/>
      <c r="CT63" s="32"/>
      <c r="CU63" s="32"/>
      <c r="CV63" s="32"/>
      <c r="CW63" s="32"/>
      <c r="CX63" s="32"/>
      <c r="CY63" s="3"/>
      <c r="DC63" s="33"/>
      <c r="DD63" s="29" t="s">
        <v>142</v>
      </c>
      <c r="DP63" s="14"/>
    </row>
    <row r="64" spans="1:120" x14ac:dyDescent="0.35">
      <c r="CK64" s="33"/>
      <c r="CL64" t="s">
        <v>143</v>
      </c>
      <c r="CM64" t="s">
        <v>144</v>
      </c>
      <c r="CY64" s="14"/>
      <c r="DC64" s="33"/>
      <c r="DP64" s="14"/>
    </row>
    <row r="65" spans="35:120" x14ac:dyDescent="0.35">
      <c r="CK65" s="33"/>
      <c r="CL65" t="s">
        <v>145</v>
      </c>
      <c r="CM65" t="s">
        <v>146</v>
      </c>
      <c r="CY65" s="14"/>
      <c r="DC65" s="33"/>
      <c r="DP65" s="14"/>
    </row>
    <row r="66" spans="35:120" x14ac:dyDescent="0.35">
      <c r="CK66" s="33"/>
      <c r="CL66" t="s">
        <v>147</v>
      </c>
      <c r="CM66" t="s">
        <v>148</v>
      </c>
      <c r="CY66" s="14"/>
      <c r="DC66" s="33"/>
      <c r="DP66" s="14"/>
    </row>
    <row r="67" spans="35:120" x14ac:dyDescent="0.35">
      <c r="BQ67" t="s">
        <v>149</v>
      </c>
      <c r="BR67">
        <f>24/10</f>
        <v>2.4</v>
      </c>
      <c r="BT67">
        <v>1</v>
      </c>
      <c r="BU67">
        <v>2</v>
      </c>
      <c r="BV67">
        <v>3</v>
      </c>
      <c r="BW67">
        <v>4</v>
      </c>
      <c r="BX67">
        <v>5</v>
      </c>
      <c r="BY67">
        <v>6</v>
      </c>
      <c r="BZ67">
        <v>7</v>
      </c>
      <c r="CA67">
        <v>8</v>
      </c>
      <c r="CB67">
        <v>9</v>
      </c>
      <c r="CC67">
        <v>10</v>
      </c>
      <c r="CD67">
        <v>11</v>
      </c>
      <c r="CK67" s="34"/>
      <c r="CY67" s="14"/>
      <c r="DC67" s="33"/>
      <c r="DP67" s="14"/>
    </row>
    <row r="68" spans="35:120" x14ac:dyDescent="0.35">
      <c r="CK68" s="33"/>
      <c r="CY68" s="14"/>
      <c r="DC68" s="33"/>
      <c r="DP68" s="14"/>
    </row>
    <row r="69" spans="35:120" x14ac:dyDescent="0.35">
      <c r="BS69" t="s">
        <v>150</v>
      </c>
      <c r="CK69" s="33"/>
      <c r="CY69" s="14"/>
      <c r="DC69" s="33"/>
      <c r="DP69" s="14"/>
    </row>
    <row r="70" spans="35:120" x14ac:dyDescent="0.35">
      <c r="AI70" s="118" t="s">
        <v>41</v>
      </c>
      <c r="AJ70" s="116">
        <f>AX38</f>
        <v>34328910</v>
      </c>
      <c r="AK70">
        <f>AJ70*10^-6</f>
        <v>34.32891</v>
      </c>
      <c r="BM70" t="s">
        <v>151</v>
      </c>
      <c r="BS70" t="s">
        <v>152</v>
      </c>
      <c r="BT70">
        <f>$BR$67*(BT67-1)</f>
        <v>0</v>
      </c>
      <c r="BU70">
        <f t="shared" ref="BU70:CC70" si="8">$BR$67*(BU67-1)</f>
        <v>2.4</v>
      </c>
      <c r="BV70">
        <f t="shared" si="8"/>
        <v>4.8</v>
      </c>
      <c r="BW70">
        <f t="shared" si="8"/>
        <v>7.1999999999999993</v>
      </c>
      <c r="BX70">
        <f t="shared" si="8"/>
        <v>9.6</v>
      </c>
      <c r="BY70">
        <f t="shared" si="8"/>
        <v>12</v>
      </c>
      <c r="BZ70">
        <f t="shared" si="8"/>
        <v>14.399999999999999</v>
      </c>
      <c r="CA70">
        <f t="shared" si="8"/>
        <v>16.8</v>
      </c>
      <c r="CB70">
        <f t="shared" si="8"/>
        <v>19.2</v>
      </c>
      <c r="CC70">
        <f t="shared" si="8"/>
        <v>21.599999999999998</v>
      </c>
      <c r="CF70" t="s">
        <v>102</v>
      </c>
      <c r="CH70" s="25"/>
      <c r="CI70" s="25"/>
      <c r="CK70" s="33"/>
      <c r="CY70" s="14"/>
      <c r="DC70" s="33"/>
      <c r="DP70" s="14"/>
    </row>
    <row r="71" spans="35:120" x14ac:dyDescent="0.35">
      <c r="AI71" s="118" t="s">
        <v>42</v>
      </c>
      <c r="AJ71" s="116">
        <f>AY38</f>
        <v>32859333</v>
      </c>
      <c r="AK71">
        <f t="shared" ref="AK71:AK81" si="9">AJ71*10^-6</f>
        <v>32.859332999999999</v>
      </c>
      <c r="BS71" t="s">
        <v>153</v>
      </c>
      <c r="BT71" t="s">
        <v>154</v>
      </c>
      <c r="BU71" t="s">
        <v>155</v>
      </c>
      <c r="BV71" t="s">
        <v>156</v>
      </c>
      <c r="BW71" t="s">
        <v>157</v>
      </c>
      <c r="BX71" t="s">
        <v>158</v>
      </c>
      <c r="BY71" t="s">
        <v>159</v>
      </c>
      <c r="BZ71" t="s">
        <v>160</v>
      </c>
      <c r="CA71" t="s">
        <v>161</v>
      </c>
      <c r="CB71" t="s">
        <v>162</v>
      </c>
      <c r="CC71" t="s">
        <v>163</v>
      </c>
      <c r="CK71" s="33"/>
      <c r="CY71" s="14"/>
      <c r="DC71" s="33"/>
      <c r="DP71" s="14"/>
    </row>
    <row r="72" spans="35:120" x14ac:dyDescent="0.35">
      <c r="AI72" s="118" t="s">
        <v>43</v>
      </c>
      <c r="AJ72" s="116">
        <f>AZ38</f>
        <v>35438418</v>
      </c>
      <c r="AK72">
        <f t="shared" si="9"/>
        <v>35.438417999999999</v>
      </c>
      <c r="BS72" s="25" t="s">
        <v>164</v>
      </c>
      <c r="BT72" s="25">
        <v>40</v>
      </c>
      <c r="BU72" s="25">
        <v>35</v>
      </c>
      <c r="BV72" s="25">
        <v>35</v>
      </c>
      <c r="BW72" s="25">
        <v>42.5</v>
      </c>
      <c r="BX72" s="25">
        <v>58.5</v>
      </c>
      <c r="BY72" s="25">
        <v>62.5</v>
      </c>
      <c r="BZ72" s="25">
        <v>60</v>
      </c>
      <c r="CA72" s="25">
        <v>58.5</v>
      </c>
      <c r="CB72" s="25">
        <v>72.5</v>
      </c>
      <c r="CC72" s="25">
        <v>58</v>
      </c>
      <c r="CD72" s="25"/>
      <c r="CF72">
        <f>SUM(BT72:CD72)</f>
        <v>522.5</v>
      </c>
      <c r="CH72" s="25"/>
      <c r="CI72" s="25"/>
      <c r="CK72" s="33"/>
      <c r="CY72" s="14"/>
      <c r="DC72" s="33"/>
      <c r="DP72" s="14"/>
    </row>
    <row r="73" spans="35:120" x14ac:dyDescent="0.35">
      <c r="AI73" s="118" t="s">
        <v>44</v>
      </c>
      <c r="AJ73" s="116">
        <f>BA38</f>
        <v>33848861</v>
      </c>
      <c r="AK73">
        <f t="shared" si="9"/>
        <v>33.848860999999999</v>
      </c>
      <c r="BT73">
        <f>(BT72/$CF$72)</f>
        <v>7.6555023923444973E-2</v>
      </c>
      <c r="BU73">
        <f t="shared" ref="BU73:CC73" si="10">(BU72/$CF$72)</f>
        <v>6.6985645933014357E-2</v>
      </c>
      <c r="BV73">
        <f t="shared" si="10"/>
        <v>6.6985645933014357E-2</v>
      </c>
      <c r="BW73">
        <f t="shared" si="10"/>
        <v>8.1339712918660281E-2</v>
      </c>
      <c r="BX73">
        <f t="shared" si="10"/>
        <v>0.11196172248803828</v>
      </c>
      <c r="BY73">
        <f t="shared" si="10"/>
        <v>0.11961722488038277</v>
      </c>
      <c r="BZ73">
        <f t="shared" si="10"/>
        <v>0.11483253588516747</v>
      </c>
      <c r="CA73">
        <f t="shared" si="10"/>
        <v>0.11196172248803828</v>
      </c>
      <c r="CB73">
        <f t="shared" si="10"/>
        <v>0.13875598086124402</v>
      </c>
      <c r="CC73">
        <f t="shared" si="10"/>
        <v>0.11100478468899522</v>
      </c>
      <c r="CF73">
        <f>SUM(BT73:CD73)</f>
        <v>1</v>
      </c>
      <c r="CK73" s="33"/>
      <c r="CY73" s="14"/>
      <c r="DC73" s="33"/>
      <c r="DP73" s="14"/>
    </row>
    <row r="74" spans="35:120" x14ac:dyDescent="0.35">
      <c r="AI74" s="118" t="s">
        <v>45</v>
      </c>
      <c r="AJ74" s="116">
        <f>BB38</f>
        <v>16104756</v>
      </c>
      <c r="AK74">
        <f t="shared" si="9"/>
        <v>16.104755999999998</v>
      </c>
      <c r="BS74" s="25" t="s">
        <v>165</v>
      </c>
      <c r="BT74" s="25">
        <v>40</v>
      </c>
      <c r="BU74" s="25">
        <v>35</v>
      </c>
      <c r="BV74" s="25">
        <v>35</v>
      </c>
      <c r="BW74" s="25">
        <v>45</v>
      </c>
      <c r="BX74" s="25">
        <v>58</v>
      </c>
      <c r="BY74" s="25">
        <v>55</v>
      </c>
      <c r="BZ74" s="25">
        <v>58.5</v>
      </c>
      <c r="CA74" s="25">
        <v>55</v>
      </c>
      <c r="CB74" s="25">
        <v>70</v>
      </c>
      <c r="CC74" s="25">
        <v>55</v>
      </c>
      <c r="CD74" s="25"/>
      <c r="CF74">
        <f>SUM(BT74:CD74)</f>
        <v>506.5</v>
      </c>
      <c r="CH74" s="25"/>
      <c r="CI74" s="25"/>
      <c r="CK74" s="33"/>
      <c r="CY74" s="14"/>
      <c r="DC74" s="33"/>
      <c r="DP74" s="14"/>
    </row>
    <row r="75" spans="35:120" x14ac:dyDescent="0.35">
      <c r="AI75" s="118" t="s">
        <v>46</v>
      </c>
      <c r="AJ75" s="116">
        <f>BC38</f>
        <v>53649730</v>
      </c>
      <c r="AK75">
        <f t="shared" si="9"/>
        <v>53.649729999999998</v>
      </c>
      <c r="BT75">
        <f>(BT74/$CF$74)</f>
        <v>7.8973346495557747E-2</v>
      </c>
      <c r="BU75">
        <f t="shared" ref="BU75:CC75" si="11">(BU74/$CF$74)</f>
        <v>6.9101678183613027E-2</v>
      </c>
      <c r="BV75">
        <f t="shared" si="11"/>
        <v>6.9101678183613027E-2</v>
      </c>
      <c r="BW75">
        <f t="shared" si="11"/>
        <v>8.8845014807502468E-2</v>
      </c>
      <c r="BX75">
        <f t="shared" si="11"/>
        <v>0.11451135241855874</v>
      </c>
      <c r="BY75">
        <f t="shared" si="11"/>
        <v>0.10858835143139191</v>
      </c>
      <c r="BZ75">
        <f t="shared" si="11"/>
        <v>0.11549851924975321</v>
      </c>
      <c r="CA75">
        <f t="shared" si="11"/>
        <v>0.10858835143139191</v>
      </c>
      <c r="CB75">
        <f t="shared" si="11"/>
        <v>0.13820335636722605</v>
      </c>
      <c r="CC75">
        <f t="shared" si="11"/>
        <v>0.10858835143139191</v>
      </c>
      <c r="CK75" s="33"/>
      <c r="CV75" t="s">
        <v>166</v>
      </c>
      <c r="CY75" s="14"/>
      <c r="DC75" s="33"/>
      <c r="DP75" s="14"/>
    </row>
    <row r="76" spans="35:120" x14ac:dyDescent="0.35">
      <c r="AI76" s="118" t="s">
        <v>47</v>
      </c>
      <c r="AJ76" s="116">
        <f>BD38</f>
        <v>36644135</v>
      </c>
      <c r="AK76">
        <f t="shared" si="9"/>
        <v>36.644134999999999</v>
      </c>
      <c r="BS76" s="25" t="s">
        <v>167</v>
      </c>
      <c r="BT76" s="25">
        <v>40</v>
      </c>
      <c r="BU76" s="25">
        <v>35</v>
      </c>
      <c r="BV76" s="25">
        <v>35</v>
      </c>
      <c r="BW76" s="25">
        <v>42.5</v>
      </c>
      <c r="BX76" s="25">
        <v>60</v>
      </c>
      <c r="BY76" s="25">
        <v>58</v>
      </c>
      <c r="BZ76" s="25">
        <v>60</v>
      </c>
      <c r="CA76" s="25">
        <v>58</v>
      </c>
      <c r="CB76" s="25">
        <v>70</v>
      </c>
      <c r="CC76" s="25">
        <v>56</v>
      </c>
      <c r="CD76" s="25"/>
      <c r="CF76">
        <f t="shared" ref="CF76" si="12">SUM(BT76:CD76)</f>
        <v>514.5</v>
      </c>
      <c r="CH76" s="25"/>
      <c r="CI76" s="25"/>
      <c r="CK76" s="33"/>
      <c r="CY76" s="14"/>
      <c r="DC76" s="33"/>
      <c r="DP76" s="14"/>
    </row>
    <row r="77" spans="35:120" ht="15" thickBot="1" x14ac:dyDescent="0.4">
      <c r="AI77" s="118" t="s">
        <v>48</v>
      </c>
      <c r="AJ77" s="116">
        <f>BE38</f>
        <v>38225662</v>
      </c>
      <c r="AK77">
        <f t="shared" si="9"/>
        <v>38.225662</v>
      </c>
      <c r="BT77">
        <f>(BT76/$CF$76)</f>
        <v>7.7745383867832848E-2</v>
      </c>
      <c r="BU77">
        <f t="shared" ref="BU77:CC77" si="13">(BU76/$CF$76)</f>
        <v>6.8027210884353748E-2</v>
      </c>
      <c r="BV77">
        <f t="shared" si="13"/>
        <v>6.8027210884353748E-2</v>
      </c>
      <c r="BW77">
        <f t="shared" si="13"/>
        <v>8.2604470359572399E-2</v>
      </c>
      <c r="BX77">
        <f t="shared" si="13"/>
        <v>0.11661807580174927</v>
      </c>
      <c r="BY77">
        <f t="shared" si="13"/>
        <v>0.11273080660835763</v>
      </c>
      <c r="BZ77">
        <f t="shared" si="13"/>
        <v>0.11661807580174927</v>
      </c>
      <c r="CA77">
        <f t="shared" si="13"/>
        <v>0.11273080660835763</v>
      </c>
      <c r="CB77">
        <f t="shared" si="13"/>
        <v>0.1360544217687075</v>
      </c>
      <c r="CC77">
        <f t="shared" si="13"/>
        <v>0.10884353741496598</v>
      </c>
      <c r="CK77" s="33"/>
      <c r="CW77" t="s">
        <v>168</v>
      </c>
      <c r="CY77" s="14"/>
      <c r="DC77" s="33"/>
      <c r="DP77" s="14"/>
    </row>
    <row r="78" spans="35:120" ht="15" thickBot="1" x14ac:dyDescent="0.4">
      <c r="AI78" s="118" t="s">
        <v>49</v>
      </c>
      <c r="AJ78" s="116">
        <f>BF38</f>
        <v>38863032</v>
      </c>
      <c r="AK78">
        <f t="shared" si="9"/>
        <v>38.863031999999997</v>
      </c>
      <c r="BS78" s="25" t="s">
        <v>169</v>
      </c>
      <c r="BT78" s="25">
        <v>40</v>
      </c>
      <c r="BU78" s="25">
        <v>35</v>
      </c>
      <c r="BV78" s="25">
        <v>35</v>
      </c>
      <c r="BW78" s="25">
        <v>40</v>
      </c>
      <c r="BX78" s="25">
        <v>58</v>
      </c>
      <c r="BY78" s="25">
        <v>60</v>
      </c>
      <c r="BZ78" s="25">
        <v>62</v>
      </c>
      <c r="CA78" s="25">
        <v>58</v>
      </c>
      <c r="CB78" s="25">
        <v>55</v>
      </c>
      <c r="CC78" s="25">
        <v>55</v>
      </c>
      <c r="CD78" s="25"/>
      <c r="CF78">
        <f t="shared" ref="CF78" si="14">SUM(BT78:CD78)</f>
        <v>498</v>
      </c>
      <c r="CH78" s="25"/>
      <c r="CI78" s="25"/>
      <c r="CK78" s="33"/>
      <c r="CU78" t="s">
        <v>170</v>
      </c>
      <c r="CV78" s="1">
        <f>4510788/31</f>
        <v>145509.29032258064</v>
      </c>
      <c r="CW78" t="s">
        <v>171</v>
      </c>
      <c r="CX78">
        <f>CV78/10</f>
        <v>14550.929032258064</v>
      </c>
      <c r="CY78" s="14"/>
      <c r="DC78" s="33"/>
      <c r="DP78" s="14"/>
    </row>
    <row r="79" spans="35:120" ht="15" thickBot="1" x14ac:dyDescent="0.4">
      <c r="AI79" s="118" t="s">
        <v>50</v>
      </c>
      <c r="AJ79" s="116">
        <f>BG38</f>
        <v>37224817</v>
      </c>
      <c r="AK79">
        <f t="shared" si="9"/>
        <v>37.224817000000002</v>
      </c>
      <c r="BT79">
        <f>(BT78/$CF$78)</f>
        <v>8.0321285140562249E-2</v>
      </c>
      <c r="BU79">
        <f t="shared" ref="BU79:CC79" si="15">(BU78/$CF$78)</f>
        <v>7.0281124497991967E-2</v>
      </c>
      <c r="BV79">
        <f t="shared" si="15"/>
        <v>7.0281124497991967E-2</v>
      </c>
      <c r="BW79">
        <f t="shared" si="15"/>
        <v>8.0321285140562249E-2</v>
      </c>
      <c r="BX79">
        <f t="shared" si="15"/>
        <v>0.11646586345381527</v>
      </c>
      <c r="BY79">
        <f t="shared" si="15"/>
        <v>0.12048192771084337</v>
      </c>
      <c r="BZ79">
        <f t="shared" si="15"/>
        <v>0.12449799196787148</v>
      </c>
      <c r="CA79">
        <f t="shared" si="15"/>
        <v>0.11646586345381527</v>
      </c>
      <c r="CB79">
        <f t="shared" si="15"/>
        <v>0.11044176706827309</v>
      </c>
      <c r="CC79">
        <f t="shared" si="15"/>
        <v>0.11044176706827309</v>
      </c>
      <c r="CK79" s="33"/>
      <c r="CU79" t="s">
        <v>172</v>
      </c>
      <c r="CV79" s="1">
        <f>2657377/31</f>
        <v>85721.838709677424</v>
      </c>
      <c r="CW79" t="s">
        <v>171</v>
      </c>
      <c r="CX79">
        <f>CV79/10</f>
        <v>8572.1838709677431</v>
      </c>
      <c r="CY79" s="14"/>
      <c r="DC79" s="33"/>
      <c r="DP79" s="14"/>
    </row>
    <row r="80" spans="35:120" ht="15" thickBot="1" x14ac:dyDescent="0.4">
      <c r="AI80" s="118" t="s">
        <v>51</v>
      </c>
      <c r="AJ80" s="116">
        <f>BH38</f>
        <v>34612341</v>
      </c>
      <c r="AK80">
        <f t="shared" si="9"/>
        <v>34.612341000000001</v>
      </c>
      <c r="BS80" s="25" t="s">
        <v>173</v>
      </c>
      <c r="BT80" s="25">
        <v>40</v>
      </c>
      <c r="BU80" s="25">
        <v>35</v>
      </c>
      <c r="BV80" s="25">
        <v>35</v>
      </c>
      <c r="BW80" s="25">
        <v>38</v>
      </c>
      <c r="BX80" s="25">
        <v>52</v>
      </c>
      <c r="BY80" s="25">
        <v>60</v>
      </c>
      <c r="BZ80" s="25">
        <v>60</v>
      </c>
      <c r="CA80" s="25">
        <v>54</v>
      </c>
      <c r="CB80" s="25">
        <v>52</v>
      </c>
      <c r="CC80" s="25">
        <v>55</v>
      </c>
      <c r="CD80" s="25"/>
      <c r="CF80">
        <f t="shared" ref="CF80" si="16">SUM(BT80:CD80)</f>
        <v>481</v>
      </c>
      <c r="CH80" s="25"/>
      <c r="CI80" s="25"/>
      <c r="CK80" s="33"/>
      <c r="CY80" s="14"/>
      <c r="DC80" s="33"/>
      <c r="DP80" s="14"/>
    </row>
    <row r="81" spans="35:238" ht="15" thickBot="1" x14ac:dyDescent="0.4">
      <c r="AI81" s="118" t="s">
        <v>52</v>
      </c>
      <c r="AJ81" s="116">
        <f>BI38</f>
        <v>32646974</v>
      </c>
      <c r="AK81">
        <f t="shared" si="9"/>
        <v>32.646974</v>
      </c>
      <c r="BT81">
        <f>(BT80/$CF$80)</f>
        <v>8.3160083160083165E-2</v>
      </c>
      <c r="BU81">
        <f t="shared" ref="BU81:CC81" si="17">(BU80/$CF$80)</f>
        <v>7.2765072765072769E-2</v>
      </c>
      <c r="BV81">
        <f t="shared" si="17"/>
        <v>7.2765072765072769E-2</v>
      </c>
      <c r="BW81">
        <f t="shared" si="17"/>
        <v>7.9002079002079006E-2</v>
      </c>
      <c r="BX81">
        <f t="shared" si="17"/>
        <v>0.10810810810810811</v>
      </c>
      <c r="BY81">
        <f t="shared" si="17"/>
        <v>0.12474012474012475</v>
      </c>
      <c r="BZ81">
        <f t="shared" si="17"/>
        <v>0.12474012474012475</v>
      </c>
      <c r="CA81">
        <f t="shared" si="17"/>
        <v>0.11226611226611227</v>
      </c>
      <c r="CB81">
        <f t="shared" si="17"/>
        <v>0.10810810810810811</v>
      </c>
      <c r="CC81">
        <f t="shared" si="17"/>
        <v>0.11434511434511435</v>
      </c>
      <c r="CK81" s="33" t="s">
        <v>174</v>
      </c>
      <c r="CL81" s="157" t="s">
        <v>175</v>
      </c>
      <c r="CM81" s="157"/>
      <c r="CN81" s="7">
        <f>34328910/31</f>
        <v>1107384.1935483871</v>
      </c>
      <c r="CO81" t="s">
        <v>176</v>
      </c>
      <c r="CP81" s="157" t="s">
        <v>177</v>
      </c>
      <c r="CQ81" s="157"/>
      <c r="CR81">
        <f>(AX11+AX14+AX16+AX6)/31</f>
        <v>45849</v>
      </c>
      <c r="CS81" t="s">
        <v>176</v>
      </c>
      <c r="CU81" t="s">
        <v>178</v>
      </c>
      <c r="CV81">
        <f>(AX12+AX15+AX17)/31</f>
        <v>710.9677419354839</v>
      </c>
      <c r="CY81" s="14"/>
      <c r="DC81" s="33"/>
      <c r="DP81" s="14"/>
    </row>
    <row r="82" spans="35:238" x14ac:dyDescent="0.35">
      <c r="BS82" s="25" t="s">
        <v>179</v>
      </c>
      <c r="BT82" s="25">
        <v>42</v>
      </c>
      <c r="BU82" s="25">
        <v>40</v>
      </c>
      <c r="BV82" s="25">
        <v>35</v>
      </c>
      <c r="BW82" s="25">
        <v>38</v>
      </c>
      <c r="BX82" s="25">
        <v>52</v>
      </c>
      <c r="BY82" s="25">
        <v>62</v>
      </c>
      <c r="BZ82" s="25">
        <v>62</v>
      </c>
      <c r="CA82" s="25">
        <v>58</v>
      </c>
      <c r="CB82" s="25">
        <v>55</v>
      </c>
      <c r="CC82" s="25">
        <v>58.5</v>
      </c>
      <c r="CD82" s="25"/>
      <c r="CF82">
        <f t="shared" ref="CF82" si="18">SUM(BT82:CD82)</f>
        <v>502.5</v>
      </c>
      <c r="CH82" s="25"/>
      <c r="CI82" s="25"/>
      <c r="CK82" s="33"/>
      <c r="CY82" s="14"/>
      <c r="DC82" s="33"/>
      <c r="DP82" s="14"/>
    </row>
    <row r="83" spans="35:238" x14ac:dyDescent="0.35">
      <c r="AK83">
        <f>SUM(AK70:AK81)</f>
        <v>424.44696900000008</v>
      </c>
      <c r="BT83">
        <f>(BT82/$CF$82)</f>
        <v>8.3582089552238809E-2</v>
      </c>
      <c r="BU83">
        <f t="shared" ref="BU83:CC83" si="19">(BU82/$CF$82)</f>
        <v>7.9601990049751242E-2</v>
      </c>
      <c r="BV83">
        <f t="shared" si="19"/>
        <v>6.965174129353234E-2</v>
      </c>
      <c r="BW83">
        <f t="shared" si="19"/>
        <v>7.5621890547263676E-2</v>
      </c>
      <c r="BX83">
        <f t="shared" si="19"/>
        <v>0.10348258706467661</v>
      </c>
      <c r="BY83">
        <f t="shared" si="19"/>
        <v>0.12338308457711443</v>
      </c>
      <c r="BZ83">
        <f t="shared" si="19"/>
        <v>0.12338308457711443</v>
      </c>
      <c r="CA83">
        <f t="shared" si="19"/>
        <v>0.1154228855721393</v>
      </c>
      <c r="CB83">
        <f t="shared" si="19"/>
        <v>0.10945273631840796</v>
      </c>
      <c r="CC83">
        <f t="shared" si="19"/>
        <v>0.11641791044776119</v>
      </c>
      <c r="CK83" s="33"/>
      <c r="CL83" t="s">
        <v>154</v>
      </c>
      <c r="CM83" t="s">
        <v>155</v>
      </c>
      <c r="CN83" t="s">
        <v>156</v>
      </c>
      <c r="CO83" t="s">
        <v>157</v>
      </c>
      <c r="CP83" t="s">
        <v>158</v>
      </c>
      <c r="CQ83" t="s">
        <v>159</v>
      </c>
      <c r="CR83" t="s">
        <v>160</v>
      </c>
      <c r="CS83" t="s">
        <v>161</v>
      </c>
      <c r="CT83" t="s">
        <v>162</v>
      </c>
      <c r="CU83" t="s">
        <v>163</v>
      </c>
      <c r="CY83" s="14"/>
      <c r="DC83" s="33"/>
      <c r="DP83" s="14"/>
    </row>
    <row r="84" spans="35:238" x14ac:dyDescent="0.35">
      <c r="BS84" s="25" t="s">
        <v>180</v>
      </c>
      <c r="BT84" s="25">
        <v>48</v>
      </c>
      <c r="BU84" s="25">
        <v>42</v>
      </c>
      <c r="BV84" s="25">
        <v>40</v>
      </c>
      <c r="BW84" s="25">
        <v>40</v>
      </c>
      <c r="BX84" s="25">
        <v>58</v>
      </c>
      <c r="BY84" s="25">
        <v>70</v>
      </c>
      <c r="BZ84" s="25">
        <v>70</v>
      </c>
      <c r="CA84" s="25">
        <v>70</v>
      </c>
      <c r="CB84" s="25">
        <v>60</v>
      </c>
      <c r="CC84" s="25">
        <v>61.5</v>
      </c>
      <c r="CD84" s="25"/>
      <c r="CF84">
        <f t="shared" ref="CF84" si="20">SUM(BT84:CD84)</f>
        <v>559.5</v>
      </c>
      <c r="CH84" s="26"/>
      <c r="CI84" s="27"/>
      <c r="CK84" s="33" t="s">
        <v>181</v>
      </c>
      <c r="CL84">
        <v>7.6555023923444973E-2</v>
      </c>
      <c r="CM84">
        <v>6.6985645933014357E-2</v>
      </c>
      <c r="CN84">
        <v>6.6985645933014357E-2</v>
      </c>
      <c r="CO84">
        <v>8.1339712918660281E-2</v>
      </c>
      <c r="CP84">
        <v>0.11196172248803828</v>
      </c>
      <c r="CQ84">
        <v>0.11961722488038277</v>
      </c>
      <c r="CR84">
        <v>0.11483253588516747</v>
      </c>
      <c r="CS84">
        <v>0.11196172248803828</v>
      </c>
      <c r="CT84">
        <v>0.13875598086124402</v>
      </c>
      <c r="CU84">
        <v>0.11100478468899522</v>
      </c>
      <c r="CY84" s="14"/>
      <c r="DC84" s="33"/>
      <c r="DP84" s="14"/>
    </row>
    <row r="85" spans="35:238" x14ac:dyDescent="0.35">
      <c r="BT85">
        <f>(BT84/$CF$84)</f>
        <v>8.5790884718498661E-2</v>
      </c>
      <c r="BU85">
        <f t="shared" ref="BU85:CC85" si="21">(BU84/$CF$84)</f>
        <v>7.5067024128686322E-2</v>
      </c>
      <c r="BV85">
        <f t="shared" si="21"/>
        <v>7.1492403932082213E-2</v>
      </c>
      <c r="BW85">
        <f t="shared" si="21"/>
        <v>7.1492403932082213E-2</v>
      </c>
      <c r="BX85">
        <f t="shared" si="21"/>
        <v>0.10366398570151922</v>
      </c>
      <c r="BY85">
        <f t="shared" si="21"/>
        <v>0.12511170688114387</v>
      </c>
      <c r="BZ85">
        <f t="shared" si="21"/>
        <v>0.12511170688114387</v>
      </c>
      <c r="CA85">
        <f t="shared" si="21"/>
        <v>0.12511170688114387</v>
      </c>
      <c r="CB85">
        <f t="shared" si="21"/>
        <v>0.10723860589812333</v>
      </c>
      <c r="CC85">
        <f t="shared" si="21"/>
        <v>0.10991957104557641</v>
      </c>
      <c r="CK85" s="33" t="s">
        <v>181</v>
      </c>
      <c r="CL85">
        <f t="shared" ref="CL85:CU85" si="22">CL84*$CN$81</f>
        <v>84775.82342954159</v>
      </c>
      <c r="CM85">
        <f t="shared" si="22"/>
        <v>74178.845500848896</v>
      </c>
      <c r="CN85">
        <f t="shared" si="22"/>
        <v>74178.845500848896</v>
      </c>
      <c r="CO85">
        <f t="shared" si="22"/>
        <v>90074.312393887943</v>
      </c>
      <c r="CP85">
        <f t="shared" si="22"/>
        <v>123984.64176570458</v>
      </c>
      <c r="CQ85">
        <f t="shared" si="22"/>
        <v>132462.22410865876</v>
      </c>
      <c r="CR85">
        <f t="shared" si="22"/>
        <v>127163.73514431241</v>
      </c>
      <c r="CS85">
        <f t="shared" si="22"/>
        <v>123984.64176570458</v>
      </c>
      <c r="CT85">
        <f t="shared" si="22"/>
        <v>153656.17996604415</v>
      </c>
      <c r="CU85">
        <f t="shared" si="22"/>
        <v>122924.94397283532</v>
      </c>
      <c r="CY85" s="14"/>
      <c r="DC85" s="33"/>
      <c r="DF85" t="s">
        <v>182</v>
      </c>
      <c r="DG85">
        <f>AY38/28</f>
        <v>1173547.607142857</v>
      </c>
      <c r="DH85" t="s">
        <v>176</v>
      </c>
      <c r="DP85" s="14"/>
    </row>
    <row r="86" spans="35:238" x14ac:dyDescent="0.35">
      <c r="BS86" s="25" t="s">
        <v>183</v>
      </c>
      <c r="BT86" s="25">
        <v>48</v>
      </c>
      <c r="BU86" s="25">
        <v>42</v>
      </c>
      <c r="BV86" s="25">
        <v>40</v>
      </c>
      <c r="BW86" s="25">
        <v>42</v>
      </c>
      <c r="BX86" s="25">
        <v>58</v>
      </c>
      <c r="BY86" s="25">
        <v>70</v>
      </c>
      <c r="BZ86" s="25">
        <v>70</v>
      </c>
      <c r="CA86" s="25">
        <v>70</v>
      </c>
      <c r="CB86" s="25">
        <v>62</v>
      </c>
      <c r="CC86" s="26">
        <v>64</v>
      </c>
      <c r="CD86" s="27"/>
      <c r="CF86">
        <f t="shared" ref="CF86" si="23">SUM(BT86:CD86)</f>
        <v>566</v>
      </c>
      <c r="CH86" s="25"/>
      <c r="CI86" s="25"/>
      <c r="CK86" s="33" t="s">
        <v>184</v>
      </c>
      <c r="CL86">
        <v>0.10771304997864166</v>
      </c>
      <c r="CM86">
        <v>0.14350170867150799</v>
      </c>
      <c r="CN86">
        <v>0.10255366296454511</v>
      </c>
      <c r="CO86">
        <v>9.3429624092268307E-2</v>
      </c>
      <c r="CP86">
        <v>8.3751601879538701E-2</v>
      </c>
      <c r="CQ86">
        <v>0.12200315036309277</v>
      </c>
      <c r="CR86">
        <v>0.12674204399829142</v>
      </c>
      <c r="CS86">
        <v>0.10995568133276386</v>
      </c>
      <c r="CT86">
        <v>5.9029260999572869E-2</v>
      </c>
      <c r="CU86">
        <v>5.1320215719777899E-2</v>
      </c>
      <c r="CY86" s="14"/>
      <c r="DC86" s="33"/>
      <c r="DP86" s="14"/>
    </row>
    <row r="87" spans="35:238" x14ac:dyDescent="0.35">
      <c r="BT87">
        <f>(BT86/$CF$86)</f>
        <v>8.4805653710247356E-2</v>
      </c>
      <c r="BU87">
        <f t="shared" ref="BU87:CC87" si="24">(BU86/$CF$86)</f>
        <v>7.4204946996466431E-2</v>
      </c>
      <c r="BV87">
        <f t="shared" si="24"/>
        <v>7.0671378091872794E-2</v>
      </c>
      <c r="BW87">
        <f t="shared" si="24"/>
        <v>7.4204946996466431E-2</v>
      </c>
      <c r="BX87">
        <f t="shared" si="24"/>
        <v>0.10247349823321555</v>
      </c>
      <c r="BY87">
        <f t="shared" si="24"/>
        <v>0.12367491166077739</v>
      </c>
      <c r="BZ87">
        <f t="shared" si="24"/>
        <v>0.12367491166077739</v>
      </c>
      <c r="CA87">
        <f t="shared" si="24"/>
        <v>0.12367491166077739</v>
      </c>
      <c r="CB87">
        <f t="shared" si="24"/>
        <v>0.10954063604240283</v>
      </c>
      <c r="CC87">
        <f t="shared" si="24"/>
        <v>0.11307420494699646</v>
      </c>
      <c r="CK87" s="33" t="s">
        <v>185</v>
      </c>
      <c r="CL87">
        <f t="shared" ref="CL87:CU87" si="25">CL86*$CR$81</f>
        <v>4938.5356284707414</v>
      </c>
      <c r="CM87">
        <f t="shared" si="25"/>
        <v>6579.40984087997</v>
      </c>
      <c r="CN87">
        <f t="shared" si="25"/>
        <v>4701.9828932614291</v>
      </c>
      <c r="CO87">
        <f t="shared" si="25"/>
        <v>4283.6548350064095</v>
      </c>
      <c r="CP87">
        <f t="shared" si="25"/>
        <v>3839.9271945749697</v>
      </c>
      <c r="CQ87">
        <f t="shared" si="25"/>
        <v>5593.7224409974406</v>
      </c>
      <c r="CR87">
        <f t="shared" si="25"/>
        <v>5810.9959752776631</v>
      </c>
      <c r="CS87">
        <f t="shared" si="25"/>
        <v>5041.3580334258904</v>
      </c>
      <c r="CT87">
        <f t="shared" si="25"/>
        <v>2706.4325875694167</v>
      </c>
      <c r="CU87">
        <f t="shared" si="25"/>
        <v>2352.9805705360968</v>
      </c>
      <c r="CY87" s="14"/>
      <c r="DC87" s="33"/>
      <c r="DF87" t="s">
        <v>186</v>
      </c>
      <c r="DG87">
        <f>(AY16+AY14+AY11+AY6)/28</f>
        <v>30043.392857142859</v>
      </c>
      <c r="DH87" t="s">
        <v>176</v>
      </c>
      <c r="DP87" s="14"/>
    </row>
    <row r="88" spans="35:238" x14ac:dyDescent="0.35">
      <c r="BS88" s="25" t="s">
        <v>187</v>
      </c>
      <c r="BT88" s="25">
        <v>48</v>
      </c>
      <c r="BU88" s="25">
        <v>42</v>
      </c>
      <c r="BV88" s="25">
        <v>42</v>
      </c>
      <c r="BW88" s="25">
        <v>42</v>
      </c>
      <c r="BX88" s="25">
        <v>58</v>
      </c>
      <c r="BY88" s="25">
        <v>70</v>
      </c>
      <c r="BZ88" s="25">
        <v>70</v>
      </c>
      <c r="CA88" s="25">
        <v>68</v>
      </c>
      <c r="CB88" s="25">
        <v>70</v>
      </c>
      <c r="CC88" s="25">
        <v>58.5</v>
      </c>
      <c r="CD88" s="25"/>
      <c r="CF88">
        <f t="shared" ref="CF88" si="26">SUM(BT88:CD88)</f>
        <v>568.5</v>
      </c>
      <c r="CH88" s="25"/>
      <c r="CI88" s="25"/>
      <c r="CK88" s="33" t="s">
        <v>93</v>
      </c>
      <c r="CL88">
        <v>2.9351959144444753E-3</v>
      </c>
      <c r="CM88">
        <v>1.0858742461265546E-3</v>
      </c>
      <c r="CN88">
        <v>3.7184089656893391E-4</v>
      </c>
      <c r="CO88">
        <v>8.279327869784036E-3</v>
      </c>
      <c r="CP88">
        <v>0.22411999713398381</v>
      </c>
      <c r="CQ88">
        <v>0.4040218113716606</v>
      </c>
      <c r="CR88">
        <v>0.30213987641540441</v>
      </c>
      <c r="CS88">
        <v>4.7654931647984046E-2</v>
      </c>
      <c r="CT88">
        <v>2.4707036316872686E-6</v>
      </c>
      <c r="CU88">
        <v>0</v>
      </c>
      <c r="CY88" s="14"/>
      <c r="DC88" s="33"/>
      <c r="DF88" t="s">
        <v>188</v>
      </c>
      <c r="DG88">
        <f>(AY12+AY15+AY17)/28</f>
        <v>770</v>
      </c>
      <c r="DH88" t="s">
        <v>176</v>
      </c>
      <c r="DP88" s="14"/>
    </row>
    <row r="89" spans="35:238" x14ac:dyDescent="0.35">
      <c r="BT89">
        <f>(BT88/$CF$88)</f>
        <v>8.4432717678100261E-2</v>
      </c>
      <c r="BU89">
        <f t="shared" ref="BU89:CC89" si="27">(BU88/$CF$88)</f>
        <v>7.3878627968337732E-2</v>
      </c>
      <c r="BV89">
        <f t="shared" si="27"/>
        <v>7.3878627968337732E-2</v>
      </c>
      <c r="BW89">
        <f t="shared" si="27"/>
        <v>7.3878627968337732E-2</v>
      </c>
      <c r="BX89">
        <f t="shared" si="27"/>
        <v>0.10202286719437115</v>
      </c>
      <c r="BY89">
        <f t="shared" si="27"/>
        <v>0.12313104661389622</v>
      </c>
      <c r="BZ89">
        <f t="shared" si="27"/>
        <v>0.12313104661389622</v>
      </c>
      <c r="CA89">
        <f t="shared" si="27"/>
        <v>0.11961301671064203</v>
      </c>
      <c r="CB89">
        <f t="shared" si="27"/>
        <v>0.12313104661389622</v>
      </c>
      <c r="CC89">
        <f t="shared" si="27"/>
        <v>0.10290237467018469</v>
      </c>
      <c r="CK89" s="33" t="s">
        <v>189</v>
      </c>
      <c r="CL89">
        <f t="shared" ref="CL89:CU89" si="28">CL88*$CV$81</f>
        <v>2.0868296114308462</v>
      </c>
      <c r="CM89">
        <f t="shared" si="28"/>
        <v>0.77202156079449236</v>
      </c>
      <c r="CN89">
        <f t="shared" si="28"/>
        <v>0.26436688259288077</v>
      </c>
      <c r="CO89">
        <f t="shared" si="28"/>
        <v>5.8863350403238766</v>
      </c>
      <c r="CP89">
        <f t="shared" si="28"/>
        <v>159.34208828493558</v>
      </c>
      <c r="CQ89">
        <f t="shared" si="28"/>
        <v>287.24647492359355</v>
      </c>
      <c r="CR89">
        <f t="shared" si="28"/>
        <v>214.81170568372625</v>
      </c>
      <c r="CS89">
        <f t="shared" si="28"/>
        <v>33.881119145857049</v>
      </c>
      <c r="CT89">
        <f t="shared" si="28"/>
        <v>1.7565905820124969E-3</v>
      </c>
      <c r="CU89">
        <f t="shared" si="28"/>
        <v>0</v>
      </c>
      <c r="CY89" s="14"/>
      <c r="DC89" s="33"/>
      <c r="DF89" t="s">
        <v>190</v>
      </c>
      <c r="DG89">
        <f>AY10/28</f>
        <v>82873.78571428571</v>
      </c>
      <c r="DH89" t="s">
        <v>176</v>
      </c>
      <c r="DP89" s="14"/>
    </row>
    <row r="90" spans="35:238" x14ac:dyDescent="0.35">
      <c r="BS90" s="25" t="s">
        <v>191</v>
      </c>
      <c r="BT90" s="25">
        <v>40</v>
      </c>
      <c r="BU90" s="25">
        <v>38</v>
      </c>
      <c r="BV90" s="25">
        <v>35</v>
      </c>
      <c r="BW90" s="25">
        <v>40</v>
      </c>
      <c r="BX90" s="25">
        <v>58</v>
      </c>
      <c r="BY90" s="25">
        <v>65</v>
      </c>
      <c r="BZ90" s="25">
        <v>65</v>
      </c>
      <c r="CA90" s="25">
        <v>60</v>
      </c>
      <c r="CB90" s="25">
        <v>65</v>
      </c>
      <c r="CC90" s="25">
        <v>56</v>
      </c>
      <c r="CD90" s="25"/>
      <c r="CF90">
        <f t="shared" ref="CF90" si="29">SUM(BT90:CD90)</f>
        <v>522</v>
      </c>
      <c r="CH90" s="25"/>
      <c r="CI90" s="25"/>
      <c r="CK90" s="33" t="s">
        <v>172</v>
      </c>
      <c r="CL90">
        <f t="shared" ref="CL90:CU90" si="30">$CX$79</f>
        <v>8572.1838709677431</v>
      </c>
      <c r="CM90">
        <f t="shared" si="30"/>
        <v>8572.1838709677431</v>
      </c>
      <c r="CN90">
        <f t="shared" si="30"/>
        <v>8572.1838709677431</v>
      </c>
      <c r="CO90">
        <f t="shared" si="30"/>
        <v>8572.1838709677431</v>
      </c>
      <c r="CP90">
        <f t="shared" si="30"/>
        <v>8572.1838709677431</v>
      </c>
      <c r="CQ90">
        <f t="shared" si="30"/>
        <v>8572.1838709677431</v>
      </c>
      <c r="CR90">
        <f t="shared" si="30"/>
        <v>8572.1838709677431</v>
      </c>
      <c r="CS90">
        <f t="shared" si="30"/>
        <v>8572.1838709677431</v>
      </c>
      <c r="CT90">
        <f t="shared" si="30"/>
        <v>8572.1838709677431</v>
      </c>
      <c r="CU90">
        <f t="shared" si="30"/>
        <v>8572.1838709677431</v>
      </c>
      <c r="CY90" s="14"/>
      <c r="DC90" s="33"/>
      <c r="DF90" t="s">
        <v>192</v>
      </c>
      <c r="DG90">
        <f>AY9/28</f>
        <v>481134.85714285716</v>
      </c>
      <c r="DH90" t="s">
        <v>176</v>
      </c>
      <c r="DP90" s="14"/>
    </row>
    <row r="91" spans="35:238" x14ac:dyDescent="0.35">
      <c r="BT91">
        <f>(BT90/$CF$90)</f>
        <v>7.662835249042145E-2</v>
      </c>
      <c r="BU91">
        <f t="shared" ref="BU91:CC91" si="31">(BU90/$CF$90)</f>
        <v>7.2796934865900387E-2</v>
      </c>
      <c r="BV91">
        <f t="shared" si="31"/>
        <v>6.7049808429118771E-2</v>
      </c>
      <c r="BW91">
        <f t="shared" si="31"/>
        <v>7.662835249042145E-2</v>
      </c>
      <c r="BX91">
        <f t="shared" si="31"/>
        <v>0.1111111111111111</v>
      </c>
      <c r="BY91">
        <f t="shared" si="31"/>
        <v>0.12452107279693486</v>
      </c>
      <c r="BZ91">
        <f t="shared" si="31"/>
        <v>0.12452107279693486</v>
      </c>
      <c r="CA91">
        <f t="shared" si="31"/>
        <v>0.11494252873563218</v>
      </c>
      <c r="CB91">
        <f t="shared" si="31"/>
        <v>0.12452107279693486</v>
      </c>
      <c r="CC91">
        <f t="shared" si="31"/>
        <v>0.10727969348659004</v>
      </c>
      <c r="CK91" s="33" t="s">
        <v>170</v>
      </c>
      <c r="CL91">
        <f t="shared" ref="CL91:CU91" si="32">$CX$78</f>
        <v>14550.929032258064</v>
      </c>
      <c r="CM91">
        <f t="shared" si="32"/>
        <v>14550.929032258064</v>
      </c>
      <c r="CN91">
        <f t="shared" si="32"/>
        <v>14550.929032258064</v>
      </c>
      <c r="CO91">
        <f t="shared" si="32"/>
        <v>14550.929032258064</v>
      </c>
      <c r="CP91">
        <f t="shared" si="32"/>
        <v>14550.929032258064</v>
      </c>
      <c r="CQ91">
        <f t="shared" si="32"/>
        <v>14550.929032258064</v>
      </c>
      <c r="CR91">
        <f t="shared" si="32"/>
        <v>14550.929032258064</v>
      </c>
      <c r="CS91">
        <f t="shared" si="32"/>
        <v>14550.929032258064</v>
      </c>
      <c r="CT91">
        <f t="shared" si="32"/>
        <v>14550.929032258064</v>
      </c>
      <c r="CU91">
        <f t="shared" si="32"/>
        <v>14550.929032258064</v>
      </c>
      <c r="CY91" s="14"/>
      <c r="DC91" s="33"/>
      <c r="DP91" s="14"/>
    </row>
    <row r="92" spans="35:238" x14ac:dyDescent="0.35">
      <c r="BS92" s="25" t="s">
        <v>193</v>
      </c>
      <c r="BT92" s="25">
        <v>40</v>
      </c>
      <c r="BU92" s="25">
        <v>38</v>
      </c>
      <c r="BV92" s="25">
        <v>35</v>
      </c>
      <c r="BW92" s="25">
        <v>40</v>
      </c>
      <c r="BX92" s="25">
        <v>58</v>
      </c>
      <c r="BY92" s="25">
        <v>62</v>
      </c>
      <c r="BZ92" s="25">
        <v>60</v>
      </c>
      <c r="CA92" s="25">
        <v>62</v>
      </c>
      <c r="CB92" s="25">
        <v>68</v>
      </c>
      <c r="CC92" s="25">
        <v>62.5</v>
      </c>
      <c r="CD92" s="25"/>
      <c r="CF92">
        <f t="shared" ref="CF92" si="33">SUM(BT92:CD92)</f>
        <v>525.5</v>
      </c>
      <c r="CH92" s="25"/>
      <c r="CI92" s="25"/>
      <c r="CK92" s="33"/>
      <c r="CY92" s="14"/>
      <c r="DC92" s="33"/>
      <c r="DP92" s="37"/>
      <c r="DQ92" s="30"/>
      <c r="EI92" s="157"/>
      <c r="EJ92" s="157"/>
      <c r="EK92" s="157"/>
      <c r="EL92" s="157"/>
      <c r="EM92" s="157"/>
      <c r="EN92" s="157"/>
      <c r="EO92" s="157"/>
      <c r="EP92" s="157"/>
      <c r="EQ92" s="157"/>
      <c r="ER92" s="157"/>
      <c r="ES92" s="157"/>
      <c r="ET92" s="157"/>
      <c r="EU92" s="157"/>
      <c r="EV92" s="157"/>
      <c r="EW92" s="157"/>
      <c r="EX92" s="157"/>
      <c r="EY92" s="157"/>
      <c r="EZ92" s="157"/>
      <c r="FA92" s="157"/>
      <c r="FB92" s="157"/>
      <c r="FC92" s="157"/>
      <c r="FD92" s="157"/>
      <c r="FE92" s="157"/>
      <c r="FF92" s="157"/>
      <c r="FG92" s="157"/>
      <c r="FH92" s="157"/>
      <c r="FI92" s="157"/>
      <c r="FJ92" s="157"/>
      <c r="FK92" s="157"/>
      <c r="FL92" s="157"/>
      <c r="FM92" s="157"/>
      <c r="FN92" s="157"/>
      <c r="FO92" s="157"/>
      <c r="FP92" s="157"/>
      <c r="FQ92" s="157"/>
      <c r="FR92" s="157"/>
      <c r="FS92" s="157"/>
      <c r="FT92" s="157"/>
      <c r="FU92" s="157"/>
      <c r="FV92" s="157"/>
      <c r="FW92" s="157"/>
      <c r="FX92" s="157"/>
      <c r="FY92" s="157"/>
      <c r="FZ92" s="157"/>
      <c r="GA92" s="157"/>
      <c r="GB92" s="157"/>
      <c r="GC92" s="157"/>
      <c r="GD92" s="157"/>
      <c r="GE92" s="157"/>
      <c r="GF92" s="157"/>
      <c r="GG92" s="157"/>
      <c r="GH92" s="157"/>
      <c r="GI92" s="157"/>
      <c r="GJ92" s="157"/>
      <c r="GK92" s="157"/>
      <c r="GL92" s="157"/>
      <c r="GM92" s="157"/>
      <c r="GN92" s="157"/>
      <c r="GO92" s="157"/>
      <c r="GP92" s="157"/>
      <c r="GQ92" s="157"/>
      <c r="GR92" s="157"/>
      <c r="GS92" s="157"/>
      <c r="GT92" s="157"/>
      <c r="GU92" s="157"/>
      <c r="GV92" s="157"/>
      <c r="GW92" s="157"/>
      <c r="GX92" s="157"/>
      <c r="GY92" s="157"/>
      <c r="GZ92" s="157"/>
      <c r="HA92" s="157"/>
      <c r="HB92" s="157"/>
      <c r="HC92" s="157"/>
      <c r="HD92" s="157"/>
      <c r="HE92" s="157"/>
      <c r="HF92" s="157"/>
      <c r="HG92" s="157"/>
      <c r="HH92" s="157"/>
      <c r="HI92" s="157"/>
      <c r="HJ92" s="157"/>
      <c r="HK92" s="157"/>
      <c r="HL92" s="157"/>
      <c r="HM92" s="157"/>
      <c r="HN92" s="157"/>
      <c r="HO92" s="157"/>
      <c r="HP92" s="157"/>
      <c r="HQ92" s="157"/>
      <c r="HR92" s="157"/>
      <c r="HS92" s="157"/>
      <c r="HT92" s="157"/>
      <c r="HU92" s="157"/>
      <c r="HV92" s="157"/>
      <c r="HW92" s="157"/>
      <c r="HX92" s="157"/>
      <c r="HY92" s="157"/>
      <c r="HZ92" s="157"/>
      <c r="IA92" s="157"/>
      <c r="IB92" s="157"/>
      <c r="IC92" s="157"/>
      <c r="ID92" s="157"/>
    </row>
    <row r="93" spans="35:238" x14ac:dyDescent="0.35">
      <c r="BT93">
        <f>(BT92/$CF$92)</f>
        <v>7.6117982873453852E-2</v>
      </c>
      <c r="BU93">
        <f t="shared" ref="BU93:CC93" si="34">(BU92/$CF$92)</f>
        <v>7.2312083729781165E-2</v>
      </c>
      <c r="BV93">
        <f t="shared" si="34"/>
        <v>6.6603235014272122E-2</v>
      </c>
      <c r="BW93">
        <f t="shared" si="34"/>
        <v>7.6117982873453852E-2</v>
      </c>
      <c r="BX93">
        <f t="shared" si="34"/>
        <v>0.11037107516650808</v>
      </c>
      <c r="BY93">
        <f t="shared" si="34"/>
        <v>0.11798287345385347</v>
      </c>
      <c r="BZ93">
        <f t="shared" si="34"/>
        <v>0.11417697431018078</v>
      </c>
      <c r="CA93">
        <f t="shared" si="34"/>
        <v>0.11798287345385347</v>
      </c>
      <c r="CB93">
        <f t="shared" si="34"/>
        <v>0.12940057088487156</v>
      </c>
      <c r="CC93">
        <f t="shared" si="34"/>
        <v>0.11893434823977164</v>
      </c>
      <c r="CK93" s="33" t="s">
        <v>194</v>
      </c>
      <c r="CL93">
        <f t="shared" ref="CL93:CU93" si="35">CL87+CL89+CL90+CL91</f>
        <v>28063.735361307979</v>
      </c>
      <c r="CM93">
        <f t="shared" si="35"/>
        <v>29703.294765666571</v>
      </c>
      <c r="CN93">
        <f t="shared" si="35"/>
        <v>27825.360163369827</v>
      </c>
      <c r="CO93">
        <f t="shared" si="35"/>
        <v>27412.654073272541</v>
      </c>
      <c r="CP93">
        <f t="shared" si="35"/>
        <v>27122.382186085713</v>
      </c>
      <c r="CQ93">
        <f t="shared" si="35"/>
        <v>29004.081819146842</v>
      </c>
      <c r="CR93">
        <f t="shared" si="35"/>
        <v>29148.920584187195</v>
      </c>
      <c r="CS93">
        <f t="shared" si="35"/>
        <v>28198.352055797553</v>
      </c>
      <c r="CT93">
        <f t="shared" si="35"/>
        <v>25829.547247385806</v>
      </c>
      <c r="CU93">
        <f t="shared" si="35"/>
        <v>25476.093473761903</v>
      </c>
      <c r="CY93" s="14"/>
      <c r="DC93" s="33"/>
      <c r="DP93" s="14"/>
    </row>
    <row r="94" spans="35:238" x14ac:dyDescent="0.35">
      <c r="BS94" s="25" t="s">
        <v>195</v>
      </c>
      <c r="BT94" s="25">
        <v>48</v>
      </c>
      <c r="BU94" s="25">
        <v>42</v>
      </c>
      <c r="BV94" s="25">
        <v>35</v>
      </c>
      <c r="BW94" s="25">
        <v>40</v>
      </c>
      <c r="BX94" s="25">
        <v>58</v>
      </c>
      <c r="BY94" s="25">
        <v>65</v>
      </c>
      <c r="BZ94" s="25">
        <v>65</v>
      </c>
      <c r="CA94" s="25">
        <v>70</v>
      </c>
      <c r="CB94" s="25">
        <v>75</v>
      </c>
      <c r="CC94" s="25">
        <v>62.5</v>
      </c>
      <c r="CD94" s="25"/>
      <c r="CF94">
        <f t="shared" ref="CF94" si="36">SUM(BT94:CD94)</f>
        <v>560.5</v>
      </c>
      <c r="CK94" s="33"/>
      <c r="CY94" s="14"/>
      <c r="DC94" s="33"/>
      <c r="DP94" s="14"/>
    </row>
    <row r="95" spans="35:238" x14ac:dyDescent="0.35">
      <c r="BT95">
        <f>(BT94/$CF$94)</f>
        <v>8.5637823371989288E-2</v>
      </c>
      <c r="BU95">
        <f t="shared" ref="BU95:CC95" si="37">(BU94/$CF$94)</f>
        <v>7.4933095450490636E-2</v>
      </c>
      <c r="BV95">
        <f t="shared" si="37"/>
        <v>6.2444246208742192E-2</v>
      </c>
      <c r="BW95">
        <f t="shared" si="37"/>
        <v>7.1364852809991081E-2</v>
      </c>
      <c r="BX95">
        <f t="shared" si="37"/>
        <v>0.10347903657448707</v>
      </c>
      <c r="BY95">
        <f t="shared" si="37"/>
        <v>0.1159678858162355</v>
      </c>
      <c r="BZ95">
        <f t="shared" si="37"/>
        <v>0.1159678858162355</v>
      </c>
      <c r="CA95">
        <f t="shared" si="37"/>
        <v>0.12488849241748438</v>
      </c>
      <c r="CB95">
        <f t="shared" si="37"/>
        <v>0.13380909901873328</v>
      </c>
      <c r="CC95">
        <f t="shared" si="37"/>
        <v>0.11150758251561106</v>
      </c>
      <c r="CK95" s="33"/>
      <c r="CY95" s="14"/>
      <c r="DC95" s="33"/>
      <c r="DP95" s="14"/>
    </row>
    <row r="96" spans="35:238" x14ac:dyDescent="0.35">
      <c r="CK96" s="33"/>
      <c r="CY96" s="14"/>
      <c r="DC96" s="33"/>
      <c r="DF96" t="s">
        <v>154</v>
      </c>
      <c r="DG96" t="s">
        <v>155</v>
      </c>
      <c r="DH96" t="s">
        <v>156</v>
      </c>
      <c r="DI96" t="s">
        <v>157</v>
      </c>
      <c r="DJ96" t="s">
        <v>158</v>
      </c>
      <c r="DK96" t="s">
        <v>159</v>
      </c>
      <c r="DL96" t="s">
        <v>160</v>
      </c>
      <c r="DM96" t="s">
        <v>161</v>
      </c>
      <c r="DN96" t="s">
        <v>162</v>
      </c>
      <c r="DO96" t="s">
        <v>163</v>
      </c>
      <c r="DP96" s="14"/>
    </row>
    <row r="97" spans="65:120" x14ac:dyDescent="0.35">
      <c r="CK97" s="33"/>
      <c r="CY97" s="14"/>
      <c r="DC97" s="33"/>
      <c r="DE97" t="s">
        <v>181</v>
      </c>
      <c r="DF97">
        <v>7.8973346495557747E-2</v>
      </c>
      <c r="DG97">
        <v>6.9101678183613027E-2</v>
      </c>
      <c r="DH97">
        <v>6.9101678183613027E-2</v>
      </c>
      <c r="DI97">
        <v>8.8845014807502468E-2</v>
      </c>
      <c r="DJ97">
        <v>0.11451135241855874</v>
      </c>
      <c r="DK97">
        <v>0.10858835143139191</v>
      </c>
      <c r="DL97">
        <v>0.11549851924975321</v>
      </c>
      <c r="DM97">
        <v>0.10858835143139191</v>
      </c>
      <c r="DN97">
        <v>0.13820335636722605</v>
      </c>
      <c r="DO97">
        <v>0.10858835143139191</v>
      </c>
      <c r="DP97" s="14"/>
    </row>
    <row r="98" spans="65:120" x14ac:dyDescent="0.35">
      <c r="CK98" s="33"/>
      <c r="CY98" s="14"/>
      <c r="DC98" s="33"/>
      <c r="DE98" t="s">
        <v>181</v>
      </c>
      <c r="DF98">
        <f>$DG$85*DF97</f>
        <v>92678.981807925535</v>
      </c>
      <c r="DG98">
        <f t="shared" ref="DG98:DO98" si="38">$DG$85*DG97</f>
        <v>81094.109081934832</v>
      </c>
      <c r="DH98">
        <f t="shared" si="38"/>
        <v>81094.109081934832</v>
      </c>
      <c r="DI98">
        <f t="shared" si="38"/>
        <v>104263.85453391622</v>
      </c>
      <c r="DJ98">
        <f t="shared" si="38"/>
        <v>134384.52362149203</v>
      </c>
      <c r="DK98">
        <f t="shared" si="38"/>
        <v>127433.59998589761</v>
      </c>
      <c r="DL98">
        <f t="shared" si="38"/>
        <v>135543.0108940911</v>
      </c>
      <c r="DM98">
        <f t="shared" si="38"/>
        <v>127433.59998589761</v>
      </c>
      <c r="DN98">
        <f t="shared" si="38"/>
        <v>162188.21816386966</v>
      </c>
      <c r="DO98">
        <f t="shared" si="38"/>
        <v>127433.59998589761</v>
      </c>
      <c r="DP98" s="14"/>
    </row>
    <row r="99" spans="65:120" x14ac:dyDescent="0.35">
      <c r="CK99" s="87"/>
      <c r="CL99" s="88"/>
      <c r="CM99" s="88"/>
      <c r="CN99" s="88"/>
      <c r="CO99" s="88"/>
      <c r="CP99" s="88"/>
      <c r="CQ99" s="88"/>
      <c r="CR99" s="88"/>
      <c r="CS99" s="88"/>
      <c r="CT99" s="88"/>
      <c r="CU99" s="88"/>
      <c r="CV99" s="88"/>
      <c r="CW99" s="88"/>
      <c r="CX99" s="88"/>
      <c r="CY99" s="89"/>
      <c r="DC99" s="33"/>
      <c r="DE99" t="s">
        <v>184</v>
      </c>
      <c r="DF99">
        <v>7.6775740433426082E-2</v>
      </c>
      <c r="DG99">
        <v>7.4865957024300961E-2</v>
      </c>
      <c r="DH99">
        <v>0.10624383347233789</v>
      </c>
      <c r="DI99">
        <v>6.9292942354646184E-2</v>
      </c>
      <c r="DJ99">
        <v>0.12012098811296168</v>
      </c>
      <c r="DK99">
        <v>0.10429333109192779</v>
      </c>
      <c r="DL99">
        <v>0.11766308082165675</v>
      </c>
      <c r="DM99">
        <v>0.14845338031161906</v>
      </c>
      <c r="DN99">
        <v>6.9975987404283777E-2</v>
      </c>
      <c r="DO99">
        <v>0.11231475897283988</v>
      </c>
      <c r="DP99" s="14"/>
    </row>
    <row r="100" spans="65:120" x14ac:dyDescent="0.35">
      <c r="BM100" t="s">
        <v>196</v>
      </c>
      <c r="BO100" s="28" t="s">
        <v>197</v>
      </c>
      <c r="CK100" s="33"/>
      <c r="CY100" s="14"/>
      <c r="DC100" s="33"/>
      <c r="DE100" t="s">
        <v>185</v>
      </c>
      <c r="DF100">
        <f>$DG$87*DF99</f>
        <v>2306.6037317394475</v>
      </c>
      <c r="DG100">
        <f t="shared" ref="DG100:DO100" si="39">$DG$87*DG99</f>
        <v>2249.2273585070479</v>
      </c>
      <c r="DH100">
        <f t="shared" si="39"/>
        <v>3191.9252276583115</v>
      </c>
      <c r="DI100">
        <f t="shared" si="39"/>
        <v>2081.7950893879888</v>
      </c>
      <c r="DJ100">
        <f t="shared" si="39"/>
        <v>3608.8420362658953</v>
      </c>
      <c r="DK100">
        <f t="shared" si="39"/>
        <v>3133.3255183748583</v>
      </c>
      <c r="DL100">
        <f t="shared" si="39"/>
        <v>3534.9981619067853</v>
      </c>
      <c r="DM100">
        <f t="shared" si="39"/>
        <v>4460.0432256728081</v>
      </c>
      <c r="DN100">
        <f t="shared" si="39"/>
        <v>2102.3160801533777</v>
      </c>
      <c r="DO100">
        <f t="shared" si="39"/>
        <v>3374.3164274763394</v>
      </c>
      <c r="DP100" s="14"/>
    </row>
    <row r="101" spans="65:120" x14ac:dyDescent="0.35">
      <c r="CK101" s="33"/>
      <c r="CY101" s="14"/>
      <c r="DC101" s="33"/>
      <c r="DE101" t="s">
        <v>93</v>
      </c>
      <c r="DF101">
        <v>4.1715650882962643E-5</v>
      </c>
      <c r="DG101">
        <v>8.8411931510762749E-5</v>
      </c>
      <c r="DH101">
        <v>8.0408168699914803E-5</v>
      </c>
      <c r="DI101">
        <v>1.3689474799162403E-3</v>
      </c>
      <c r="DJ101">
        <v>0.18134463677858975</v>
      </c>
      <c r="DK101">
        <v>0.28057697784721269</v>
      </c>
      <c r="DL101">
        <v>0.31881334296575548</v>
      </c>
      <c r="DM101">
        <v>0.21536365542627231</v>
      </c>
      <c r="DN101">
        <v>2.2615177656386157E-3</v>
      </c>
      <c r="DO101">
        <v>6.038598552133316E-5</v>
      </c>
      <c r="DP101" s="14"/>
    </row>
    <row r="102" spans="65:120" x14ac:dyDescent="0.35">
      <c r="CK102" s="33"/>
      <c r="CY102" s="14"/>
      <c r="DC102" s="33"/>
      <c r="DE102" t="s">
        <v>189</v>
      </c>
      <c r="DF102">
        <f>$DG$88*DF101</f>
        <v>3.2121051179881233E-2</v>
      </c>
      <c r="DG102">
        <f t="shared" ref="DG102:DO102" si="40">$DG$88*DG101</f>
        <v>6.807718726328732E-2</v>
      </c>
      <c r="DH102">
        <f t="shared" si="40"/>
        <v>6.1914289898934396E-2</v>
      </c>
      <c r="DI102">
        <f t="shared" si="40"/>
        <v>1.0540895595355051</v>
      </c>
      <c r="DJ102">
        <f t="shared" si="40"/>
        <v>139.6353703195141</v>
      </c>
      <c r="DK102">
        <f t="shared" si="40"/>
        <v>216.04427294235379</v>
      </c>
      <c r="DL102">
        <f t="shared" si="40"/>
        <v>245.48627408363171</v>
      </c>
      <c r="DM102">
        <f t="shared" si="40"/>
        <v>165.83001467822967</v>
      </c>
      <c r="DN102">
        <f t="shared" si="40"/>
        <v>1.741368679541734</v>
      </c>
      <c r="DO102">
        <f t="shared" si="40"/>
        <v>4.6497208851426532E-2</v>
      </c>
      <c r="DP102" s="14"/>
    </row>
    <row r="103" spans="65:120" x14ac:dyDescent="0.35">
      <c r="CK103" s="33"/>
      <c r="CY103" s="14"/>
      <c r="DC103" s="33"/>
      <c r="DE103" t="s">
        <v>172</v>
      </c>
      <c r="DF103">
        <f>$DG$89/10</f>
        <v>8287.3785714285714</v>
      </c>
      <c r="DG103">
        <f t="shared" ref="DG103:DO103" si="41">$DG$89/10</f>
        <v>8287.3785714285714</v>
      </c>
      <c r="DH103">
        <f t="shared" si="41"/>
        <v>8287.3785714285714</v>
      </c>
      <c r="DI103">
        <f t="shared" si="41"/>
        <v>8287.3785714285714</v>
      </c>
      <c r="DJ103">
        <f t="shared" si="41"/>
        <v>8287.3785714285714</v>
      </c>
      <c r="DK103">
        <f t="shared" si="41"/>
        <v>8287.3785714285714</v>
      </c>
      <c r="DL103">
        <f t="shared" si="41"/>
        <v>8287.3785714285714</v>
      </c>
      <c r="DM103">
        <f t="shared" si="41"/>
        <v>8287.3785714285714</v>
      </c>
      <c r="DN103">
        <f t="shared" si="41"/>
        <v>8287.3785714285714</v>
      </c>
      <c r="DO103">
        <f t="shared" si="41"/>
        <v>8287.3785714285714</v>
      </c>
      <c r="DP103" s="14"/>
    </row>
    <row r="104" spans="65:120" x14ac:dyDescent="0.35">
      <c r="CK104" s="33"/>
      <c r="CY104" s="14"/>
      <c r="DC104" s="33"/>
      <c r="DE104" t="s">
        <v>170</v>
      </c>
      <c r="DF104">
        <f>$DG$90/10</f>
        <v>48113.485714285714</v>
      </c>
      <c r="DG104">
        <f t="shared" ref="DG104:DO104" si="42">$DG$90/10</f>
        <v>48113.485714285714</v>
      </c>
      <c r="DH104">
        <f t="shared" si="42"/>
        <v>48113.485714285714</v>
      </c>
      <c r="DI104">
        <f t="shared" si="42"/>
        <v>48113.485714285714</v>
      </c>
      <c r="DJ104">
        <f t="shared" si="42"/>
        <v>48113.485714285714</v>
      </c>
      <c r="DK104">
        <f t="shared" si="42"/>
        <v>48113.485714285714</v>
      </c>
      <c r="DL104">
        <f t="shared" si="42"/>
        <v>48113.485714285714</v>
      </c>
      <c r="DM104">
        <f t="shared" si="42"/>
        <v>48113.485714285714</v>
      </c>
      <c r="DN104">
        <f t="shared" si="42"/>
        <v>48113.485714285714</v>
      </c>
      <c r="DO104">
        <f t="shared" si="42"/>
        <v>48113.485714285714</v>
      </c>
      <c r="DP104" s="14"/>
    </row>
    <row r="105" spans="65:120" x14ac:dyDescent="0.35">
      <c r="CK105" s="33"/>
      <c r="CY105" s="14"/>
      <c r="DC105" s="33"/>
      <c r="DP105" s="14"/>
    </row>
    <row r="106" spans="65:120" x14ac:dyDescent="0.35">
      <c r="CK106" s="33"/>
      <c r="CY106" s="14"/>
      <c r="DC106" s="33"/>
      <c r="DE106" t="s">
        <v>194</v>
      </c>
      <c r="DF106">
        <f>SUM(DF100,DF102,DF103,DF104)</f>
        <v>58707.500138504911</v>
      </c>
      <c r="DG106">
        <f t="shared" ref="DG106:DO106" si="43">SUM(DG100,DG102,DG103,DG104)</f>
        <v>58650.1597214086</v>
      </c>
      <c r="DH106">
        <f t="shared" si="43"/>
        <v>59592.851427662492</v>
      </c>
      <c r="DI106">
        <f t="shared" si="43"/>
        <v>58483.713464661807</v>
      </c>
      <c r="DJ106">
        <f t="shared" si="43"/>
        <v>60149.341692299698</v>
      </c>
      <c r="DK106">
        <f t="shared" si="43"/>
        <v>59750.234077031499</v>
      </c>
      <c r="DL106">
        <f t="shared" si="43"/>
        <v>60181.3487217047</v>
      </c>
      <c r="DM106">
        <f t="shared" si="43"/>
        <v>61026.737526065321</v>
      </c>
      <c r="DN106">
        <f t="shared" si="43"/>
        <v>58504.921734547206</v>
      </c>
      <c r="DO106">
        <f t="shared" si="43"/>
        <v>59775.227210399476</v>
      </c>
      <c r="DP106" s="14"/>
    </row>
    <row r="107" spans="65:120" x14ac:dyDescent="0.35">
      <c r="CK107" s="33"/>
      <c r="CY107" s="14"/>
      <c r="DC107" s="33"/>
      <c r="DP107" s="14"/>
    </row>
    <row r="108" spans="65:120" x14ac:dyDescent="0.35">
      <c r="CK108" s="33"/>
      <c r="CY108" s="14"/>
      <c r="DC108" s="33"/>
      <c r="DP108" s="14"/>
    </row>
    <row r="109" spans="65:120" x14ac:dyDescent="0.35">
      <c r="CK109" s="33"/>
      <c r="CY109" s="14"/>
      <c r="DC109" s="33"/>
      <c r="DP109" s="14"/>
    </row>
    <row r="110" spans="65:120" x14ac:dyDescent="0.35">
      <c r="CK110" s="33"/>
      <c r="CY110" s="14"/>
      <c r="DC110" s="33"/>
      <c r="DP110" s="14"/>
    </row>
    <row r="111" spans="65:120" x14ac:dyDescent="0.35">
      <c r="CK111" s="33"/>
      <c r="CY111" s="14"/>
      <c r="DC111" s="33"/>
      <c r="DP111" s="14"/>
    </row>
    <row r="112" spans="65:120" x14ac:dyDescent="0.35">
      <c r="CK112" s="33"/>
      <c r="CY112" s="14"/>
      <c r="DC112" s="33"/>
      <c r="DP112" s="14"/>
    </row>
    <row r="113" spans="65:120" ht="15" thickBot="1" x14ac:dyDescent="0.4">
      <c r="CK113" s="35"/>
      <c r="CL113" s="15"/>
      <c r="CM113" s="15"/>
      <c r="CN113" s="15"/>
      <c r="CO113" s="15"/>
      <c r="CP113" s="15"/>
      <c r="CQ113" s="15"/>
      <c r="CR113" s="15"/>
      <c r="CS113" s="15"/>
      <c r="CT113" s="15"/>
      <c r="CU113" s="15"/>
      <c r="CV113" s="15"/>
      <c r="CW113" s="15"/>
      <c r="CX113" s="15"/>
      <c r="CY113" s="16"/>
      <c r="DC113" s="35"/>
      <c r="DD113" s="15"/>
      <c r="DE113" s="15"/>
      <c r="DF113" s="15"/>
      <c r="DG113" s="15"/>
      <c r="DH113" s="15"/>
      <c r="DI113" s="15"/>
      <c r="DJ113" s="15"/>
      <c r="DK113" s="15"/>
      <c r="DL113" s="15"/>
      <c r="DM113" s="15"/>
      <c r="DN113" s="15"/>
      <c r="DO113" s="15"/>
      <c r="DP113" s="16"/>
    </row>
    <row r="116" spans="65:120" x14ac:dyDescent="0.35">
      <c r="CO116" s="31"/>
      <c r="CP116" s="32"/>
      <c r="CQ116" s="32"/>
      <c r="CR116" s="32"/>
      <c r="CS116" s="32"/>
      <c r="CT116" s="32"/>
      <c r="CU116" s="32"/>
      <c r="CV116" s="32"/>
      <c r="CW116" s="32"/>
      <c r="CX116" s="32"/>
      <c r="CY116" s="32"/>
      <c r="CZ116" s="32"/>
      <c r="DA116" s="32"/>
      <c r="DB116" s="3"/>
      <c r="DD116" s="38" t="s">
        <v>198</v>
      </c>
      <c r="DE116" s="32"/>
      <c r="DF116" s="32"/>
      <c r="DG116" s="32"/>
      <c r="DH116" s="32"/>
      <c r="DI116" s="32"/>
      <c r="DJ116" s="32"/>
      <c r="DK116" s="32"/>
      <c r="DL116" s="32"/>
      <c r="DM116" s="32"/>
      <c r="DN116" s="32"/>
      <c r="DO116" s="32"/>
      <c r="DP116" s="3"/>
    </row>
    <row r="117" spans="65:120" ht="15" thickBot="1" x14ac:dyDescent="0.4">
      <c r="CO117" s="33"/>
      <c r="DB117" s="14"/>
      <c r="DD117" s="33"/>
      <c r="DP117" s="14"/>
    </row>
    <row r="118" spans="65:120" x14ac:dyDescent="0.35">
      <c r="BM118" s="38" t="s">
        <v>167</v>
      </c>
      <c r="BN118" s="32"/>
      <c r="BO118" s="32"/>
      <c r="BP118" s="32"/>
      <c r="BQ118" s="32"/>
      <c r="BR118" s="32"/>
      <c r="BS118" s="32"/>
      <c r="BT118" s="32"/>
      <c r="BU118" s="32"/>
      <c r="BV118" s="32"/>
      <c r="BW118" s="32"/>
      <c r="BX118" s="3"/>
      <c r="CA118" s="38" t="s">
        <v>199</v>
      </c>
      <c r="CB118" s="32"/>
      <c r="CC118" s="32"/>
      <c r="CD118" s="32"/>
      <c r="CE118" s="32"/>
      <c r="CF118" s="32"/>
      <c r="CG118" s="32"/>
      <c r="CH118" s="32"/>
      <c r="CI118" s="32"/>
      <c r="CK118" s="32"/>
      <c r="CL118" s="32"/>
      <c r="CM118" s="3"/>
      <c r="CO118" s="33"/>
      <c r="CP118" s="29" t="s">
        <v>200</v>
      </c>
      <c r="DB118" s="14"/>
      <c r="DD118" s="33"/>
      <c r="DP118" s="14"/>
    </row>
    <row r="119" spans="65:120" x14ac:dyDescent="0.35">
      <c r="BM119" s="33"/>
      <c r="BX119" s="14"/>
      <c r="CA119" s="33"/>
      <c r="CM119" s="14"/>
      <c r="CO119" s="33"/>
      <c r="CP119" s="39"/>
      <c r="DB119" s="14"/>
      <c r="DD119" s="33"/>
      <c r="DP119" s="14"/>
    </row>
    <row r="120" spans="65:120" x14ac:dyDescent="0.35">
      <c r="BM120" s="33"/>
      <c r="BX120" s="14"/>
      <c r="CA120" s="33"/>
      <c r="CM120" s="14"/>
      <c r="CO120" s="33"/>
      <c r="CP120" s="39"/>
      <c r="DB120" s="14"/>
      <c r="DD120" s="33"/>
      <c r="DP120" s="14"/>
    </row>
    <row r="121" spans="65:120" x14ac:dyDescent="0.35">
      <c r="BM121" s="33"/>
      <c r="BX121" s="14"/>
      <c r="CA121" s="33"/>
      <c r="CM121" s="14"/>
      <c r="CO121" s="33"/>
      <c r="CP121" s="39"/>
      <c r="DB121" s="14"/>
      <c r="DD121" s="33"/>
      <c r="DP121" s="14"/>
    </row>
    <row r="122" spans="65:120" x14ac:dyDescent="0.35">
      <c r="BM122" s="33"/>
      <c r="BX122" s="14"/>
      <c r="CA122" s="33"/>
      <c r="CM122" s="14"/>
      <c r="CO122" s="33"/>
      <c r="CP122" s="39"/>
      <c r="DB122" s="14"/>
      <c r="DD122" s="33"/>
      <c r="DF122" t="s">
        <v>181</v>
      </c>
      <c r="DG122">
        <f>53649730/30</f>
        <v>1788324.3333333333</v>
      </c>
      <c r="DP122" s="14"/>
    </row>
    <row r="123" spans="65:120" x14ac:dyDescent="0.35">
      <c r="BM123" s="33"/>
      <c r="BX123" s="14"/>
      <c r="CA123" s="33"/>
      <c r="CM123" s="14"/>
      <c r="CO123" s="33"/>
      <c r="CP123" s="39"/>
      <c r="CR123" t="s">
        <v>181</v>
      </c>
      <c r="CS123">
        <f>BB38/31</f>
        <v>519508.25806451612</v>
      </c>
      <c r="DB123" s="14"/>
      <c r="DD123" s="33"/>
      <c r="DF123" t="s">
        <v>201</v>
      </c>
      <c r="DG123">
        <f>SUM(BC6,BC11,BC14,BC16,BC6)/30</f>
        <v>78108.866666666669</v>
      </c>
      <c r="DP123" s="14"/>
    </row>
    <row r="124" spans="65:120" x14ac:dyDescent="0.35">
      <c r="BM124" s="33"/>
      <c r="BX124" s="14"/>
      <c r="CA124" s="33"/>
      <c r="CB124" t="s">
        <v>181</v>
      </c>
      <c r="CC124">
        <f>BA38/30</f>
        <v>1128295.3666666667</v>
      </c>
      <c r="CE124" t="s">
        <v>172</v>
      </c>
      <c r="CF124">
        <f>BA10/30</f>
        <v>81552.066666666666</v>
      </c>
      <c r="CM124" s="14"/>
      <c r="CO124" s="33"/>
      <c r="CP124" s="39"/>
      <c r="CR124" t="s">
        <v>201</v>
      </c>
      <c r="CS124">
        <f>(BB6+BB11+BB14+BB16+BB6)/31</f>
        <v>64045.258064516129</v>
      </c>
      <c r="DB124" s="14"/>
      <c r="DD124" s="33"/>
      <c r="DF124" t="s">
        <v>93</v>
      </c>
      <c r="DG124">
        <f>SUM(BC12,BC15,BC17)/30</f>
        <v>1450.3666666666666</v>
      </c>
      <c r="DP124" s="14"/>
    </row>
    <row r="125" spans="65:120" x14ac:dyDescent="0.35">
      <c r="BM125" s="33"/>
      <c r="BX125" s="14"/>
      <c r="CA125" s="33"/>
      <c r="CB125" t="s">
        <v>201</v>
      </c>
      <c r="CC125">
        <f>(BA6+BA11+BA14+BA16+BA6)/30</f>
        <v>105830</v>
      </c>
      <c r="CD125" s="40"/>
      <c r="CE125" t="s">
        <v>170</v>
      </c>
      <c r="CF125">
        <f>BA9/30</f>
        <v>501929.8</v>
      </c>
      <c r="CM125" s="14"/>
      <c r="CO125" s="33"/>
      <c r="CP125" s="39"/>
      <c r="CR125" t="s">
        <v>93</v>
      </c>
      <c r="CS125">
        <f>(BB12+BB15+BB17)/31</f>
        <v>1447.4193548387098</v>
      </c>
      <c r="DB125" s="14"/>
      <c r="DD125" s="33"/>
      <c r="DF125" t="s">
        <v>170</v>
      </c>
      <c r="DG125">
        <f>BC9/30</f>
        <v>412389.96666666667</v>
      </c>
      <c r="DP125" s="14"/>
    </row>
    <row r="126" spans="65:120" x14ac:dyDescent="0.35">
      <c r="BM126" s="33"/>
      <c r="BO126" t="s">
        <v>202</v>
      </c>
      <c r="BP126">
        <f>AZ38/31</f>
        <v>1143174.7741935484</v>
      </c>
      <c r="BX126" s="14"/>
      <c r="CA126" s="33"/>
      <c r="CB126" t="s">
        <v>189</v>
      </c>
      <c r="CC126">
        <f>(BA12+BA15+BA17)/30</f>
        <v>1465.8666666666666</v>
      </c>
      <c r="CD126" s="40"/>
      <c r="CM126" s="14"/>
      <c r="CO126" s="33"/>
      <c r="CP126" s="39"/>
      <c r="CR126" t="s">
        <v>172</v>
      </c>
      <c r="CS126">
        <f>BB10/31</f>
        <v>76924.709677419349</v>
      </c>
      <c r="DB126" s="14"/>
      <c r="DD126" s="33"/>
      <c r="DF126" t="s">
        <v>172</v>
      </c>
      <c r="DG126">
        <f>BC10/30</f>
        <v>78304.666666666672</v>
      </c>
      <c r="DP126" s="14"/>
    </row>
    <row r="127" spans="65:120" x14ac:dyDescent="0.35">
      <c r="BM127" s="33"/>
      <c r="BX127" s="14"/>
      <c r="CA127" s="33"/>
      <c r="CD127" s="40"/>
      <c r="CM127" s="14"/>
      <c r="CO127" s="33"/>
      <c r="CP127" s="39"/>
      <c r="CR127" t="s">
        <v>170</v>
      </c>
      <c r="CS127">
        <f>BB9/31</f>
        <v>453870.54838709679</v>
      </c>
      <c r="DB127" s="14"/>
      <c r="DD127" s="33"/>
      <c r="DG127" s="39"/>
      <c r="DP127" s="14"/>
    </row>
    <row r="128" spans="65:120" x14ac:dyDescent="0.35">
      <c r="BM128" s="33"/>
      <c r="BO128" t="s">
        <v>201</v>
      </c>
      <c r="BP128">
        <f>SUM(AZ11,AZ14,AZ16,AZ6)/31</f>
        <v>58012.258064516129</v>
      </c>
      <c r="BX128" s="14"/>
      <c r="CA128" s="33"/>
      <c r="CD128" s="40"/>
      <c r="CM128" s="14"/>
      <c r="CO128" s="33"/>
      <c r="CP128" s="39"/>
      <c r="DB128" s="14"/>
      <c r="DD128" s="33"/>
      <c r="DG128" s="39"/>
      <c r="DP128" s="14"/>
    </row>
    <row r="129" spans="65:120" x14ac:dyDescent="0.35">
      <c r="BM129" s="33"/>
      <c r="BO129" t="s">
        <v>203</v>
      </c>
      <c r="BP129">
        <f>SUM(AZ12,AZ15,AZ17)/31</f>
        <v>986.29032258064512</v>
      </c>
      <c r="BX129" s="14"/>
      <c r="CA129" s="33"/>
      <c r="CD129" s="40"/>
      <c r="CM129" s="14"/>
      <c r="CO129" s="33"/>
      <c r="CP129" s="39"/>
      <c r="DB129" s="14"/>
      <c r="DD129" s="33"/>
      <c r="DG129" s="39"/>
      <c r="DP129" s="14"/>
    </row>
    <row r="130" spans="65:120" x14ac:dyDescent="0.35">
      <c r="BM130" s="33"/>
      <c r="BO130" t="s">
        <v>172</v>
      </c>
      <c r="BP130">
        <f>AZ10/31</f>
        <v>81764.290322580651</v>
      </c>
      <c r="BX130" s="14"/>
      <c r="CA130" s="33"/>
      <c r="CC130" t="s">
        <v>154</v>
      </c>
      <c r="CD130" t="s">
        <v>155</v>
      </c>
      <c r="CE130" t="s">
        <v>156</v>
      </c>
      <c r="CF130" t="s">
        <v>157</v>
      </c>
      <c r="CG130" t="s">
        <v>158</v>
      </c>
      <c r="CH130" t="s">
        <v>159</v>
      </c>
      <c r="CI130" t="s">
        <v>160</v>
      </c>
      <c r="CJ130" t="s">
        <v>161</v>
      </c>
      <c r="CK130" t="s">
        <v>162</v>
      </c>
      <c r="CL130" t="s">
        <v>163</v>
      </c>
      <c r="CM130" s="14"/>
      <c r="CO130" s="33"/>
      <c r="CP130" s="39"/>
      <c r="CR130" t="s">
        <v>154</v>
      </c>
      <c r="CS130" t="s">
        <v>155</v>
      </c>
      <c r="CT130" t="s">
        <v>156</v>
      </c>
      <c r="CU130" t="s">
        <v>157</v>
      </c>
      <c r="CV130" t="s">
        <v>158</v>
      </c>
      <c r="CW130" t="s">
        <v>159</v>
      </c>
      <c r="CX130" t="s">
        <v>160</v>
      </c>
      <c r="CY130" t="s">
        <v>161</v>
      </c>
      <c r="CZ130" t="s">
        <v>162</v>
      </c>
      <c r="DA130" t="s">
        <v>163</v>
      </c>
      <c r="DB130" s="14"/>
      <c r="DD130" s="33"/>
      <c r="DF130" t="s">
        <v>154</v>
      </c>
      <c r="DG130" t="s">
        <v>155</v>
      </c>
      <c r="DH130" t="s">
        <v>156</v>
      </c>
      <c r="DI130" t="s">
        <v>157</v>
      </c>
      <c r="DJ130" t="s">
        <v>158</v>
      </c>
      <c r="DK130" t="s">
        <v>159</v>
      </c>
      <c r="DL130" t="s">
        <v>160</v>
      </c>
      <c r="DM130" t="s">
        <v>161</v>
      </c>
      <c r="DN130" t="s">
        <v>162</v>
      </c>
      <c r="DO130" t="s">
        <v>163</v>
      </c>
      <c r="DP130" s="14"/>
    </row>
    <row r="131" spans="65:120" x14ac:dyDescent="0.35">
      <c r="BM131" s="33"/>
      <c r="BO131" t="s">
        <v>170</v>
      </c>
      <c r="BP131">
        <f>AZ9/31</f>
        <v>493090.25806451612</v>
      </c>
      <c r="BX131" s="14"/>
      <c r="CA131" s="33"/>
      <c r="CB131" t="s">
        <v>181</v>
      </c>
      <c r="CC131">
        <v>8.0321285140562249E-2</v>
      </c>
      <c r="CD131">
        <v>7.0281124497991967E-2</v>
      </c>
      <c r="CE131">
        <v>7.0281124497991967E-2</v>
      </c>
      <c r="CF131">
        <v>8.0321285140562249E-2</v>
      </c>
      <c r="CG131">
        <v>0.11646586345381527</v>
      </c>
      <c r="CH131">
        <v>0.12048192771084337</v>
      </c>
      <c r="CI131">
        <v>0.12449799196787148</v>
      </c>
      <c r="CJ131">
        <v>0.11646586345381527</v>
      </c>
      <c r="CK131">
        <v>0.11044176706827309</v>
      </c>
      <c r="CL131">
        <v>0.11044176706827309</v>
      </c>
      <c r="CM131" s="14"/>
      <c r="CO131" s="33"/>
      <c r="CP131" s="39"/>
      <c r="CQ131" t="s">
        <v>181</v>
      </c>
      <c r="CR131">
        <v>8.3160083160083165E-2</v>
      </c>
      <c r="CS131">
        <v>7.2765072765072769E-2</v>
      </c>
      <c r="CT131">
        <v>7.2765072765072769E-2</v>
      </c>
      <c r="CU131">
        <v>7.9002079002079006E-2</v>
      </c>
      <c r="CV131">
        <v>0.10810810810810811</v>
      </c>
      <c r="CW131">
        <v>0.12474012474012475</v>
      </c>
      <c r="CX131">
        <v>0.12474012474012475</v>
      </c>
      <c r="CY131">
        <v>0.11226611226611227</v>
      </c>
      <c r="CZ131">
        <v>0.10810810810810811</v>
      </c>
      <c r="DA131">
        <v>0.11434511434511435</v>
      </c>
      <c r="DB131" s="14"/>
      <c r="DD131" s="33"/>
      <c r="DE131" t="s">
        <v>181</v>
      </c>
      <c r="DF131">
        <v>8.3582089552238809E-2</v>
      </c>
      <c r="DG131">
        <v>7.9601990049751242E-2</v>
      </c>
      <c r="DH131">
        <v>6.965174129353234E-2</v>
      </c>
      <c r="DI131">
        <v>7.5621890547263676E-2</v>
      </c>
      <c r="DJ131">
        <v>0.10348258706467661</v>
      </c>
      <c r="DK131">
        <v>0.12338308457711443</v>
      </c>
      <c r="DL131">
        <v>0.12338308457711443</v>
      </c>
      <c r="DM131">
        <v>0.1154228855721393</v>
      </c>
      <c r="DN131">
        <v>0.10945273631840796</v>
      </c>
      <c r="DO131">
        <v>0.11641791044776119</v>
      </c>
      <c r="DP131" s="14"/>
    </row>
    <row r="132" spans="65:120" x14ac:dyDescent="0.35">
      <c r="BM132" s="33"/>
      <c r="BX132" s="14"/>
      <c r="CA132" s="33"/>
      <c r="CB132" t="s">
        <v>181</v>
      </c>
      <c r="CC132">
        <f>$CC$124*CC131</f>
        <v>90626.133868808567</v>
      </c>
      <c r="CD132">
        <f t="shared" ref="CD132:CL132" si="44">$CC$124*CD131</f>
        <v>79297.867135207503</v>
      </c>
      <c r="CE132">
        <f t="shared" si="44"/>
        <v>79297.867135207503</v>
      </c>
      <c r="CF132">
        <f t="shared" si="44"/>
        <v>90626.133868808567</v>
      </c>
      <c r="CG132">
        <f t="shared" si="44"/>
        <v>131407.89410977243</v>
      </c>
      <c r="CH132">
        <f t="shared" si="44"/>
        <v>135939.20080321285</v>
      </c>
      <c r="CI132">
        <f t="shared" si="44"/>
        <v>140470.50749665327</v>
      </c>
      <c r="CJ132">
        <f t="shared" si="44"/>
        <v>131407.89410977243</v>
      </c>
      <c r="CK132">
        <f t="shared" si="44"/>
        <v>124610.93406961179</v>
      </c>
      <c r="CL132">
        <f t="shared" si="44"/>
        <v>124610.93406961179</v>
      </c>
      <c r="CM132" s="14"/>
      <c r="CO132" s="33"/>
      <c r="CP132" s="39"/>
      <c r="CQ132" t="s">
        <v>181</v>
      </c>
      <c r="CR132">
        <f t="shared" ref="CR132:DA132" si="45">$CS$123*CR131</f>
        <v>43202.349942995104</v>
      </c>
      <c r="CS132">
        <f t="shared" si="45"/>
        <v>37802.056200120714</v>
      </c>
      <c r="CT132">
        <f t="shared" si="45"/>
        <v>37802.056200120714</v>
      </c>
      <c r="CU132">
        <f t="shared" si="45"/>
        <v>41042.232445845351</v>
      </c>
      <c r="CV132">
        <f t="shared" si="45"/>
        <v>56163.054925893637</v>
      </c>
      <c r="CW132">
        <f t="shared" si="45"/>
        <v>64803.524914492657</v>
      </c>
      <c r="CX132">
        <f t="shared" si="45"/>
        <v>64803.524914492657</v>
      </c>
      <c r="CY132">
        <f t="shared" si="45"/>
        <v>58323.17242304339</v>
      </c>
      <c r="CZ132">
        <f t="shared" si="45"/>
        <v>56163.054925893637</v>
      </c>
      <c r="DA132">
        <f t="shared" si="45"/>
        <v>59403.231171618274</v>
      </c>
      <c r="DB132" s="14"/>
      <c r="DD132" s="33"/>
      <c r="DE132" t="s">
        <v>181</v>
      </c>
      <c r="DF132">
        <f>$DG$122*DF131</f>
        <v>149471.88457711443</v>
      </c>
      <c r="DG132">
        <f t="shared" ref="DG132:DO132" si="46">$DG$122*DG131</f>
        <v>142354.17578772802</v>
      </c>
      <c r="DH132">
        <f t="shared" si="46"/>
        <v>124559.90381426203</v>
      </c>
      <c r="DI132">
        <f t="shared" si="46"/>
        <v>135236.46699834161</v>
      </c>
      <c r="DJ132">
        <f t="shared" si="46"/>
        <v>185060.42852404641</v>
      </c>
      <c r="DK132">
        <f t="shared" si="46"/>
        <v>220648.97247097842</v>
      </c>
      <c r="DL132">
        <f t="shared" si="46"/>
        <v>220648.97247097842</v>
      </c>
      <c r="DM132">
        <f t="shared" si="46"/>
        <v>206413.5548922056</v>
      </c>
      <c r="DN132">
        <f t="shared" si="46"/>
        <v>195736.99170812604</v>
      </c>
      <c r="DO132">
        <f t="shared" si="46"/>
        <v>208192.98208955221</v>
      </c>
      <c r="DP132" s="14"/>
    </row>
    <row r="133" spans="65:120" x14ac:dyDescent="0.35">
      <c r="BM133" s="33"/>
      <c r="BX133" s="14"/>
      <c r="CA133" s="33"/>
      <c r="CB133" t="s">
        <v>184</v>
      </c>
      <c r="CC133">
        <v>6.7897404038733594E-2</v>
      </c>
      <c r="CD133">
        <v>6.9549629748506342E-2</v>
      </c>
      <c r="CE133">
        <v>0.10780706354100253</v>
      </c>
      <c r="CF133">
        <v>7.2921461893334094E-2</v>
      </c>
      <c r="CG133">
        <v>0.13520949044934139</v>
      </c>
      <c r="CH133">
        <v>0.1045980914479461</v>
      </c>
      <c r="CI133">
        <v>0.10617426920221362</v>
      </c>
      <c r="CJ133">
        <v>0.14787692700836153</v>
      </c>
      <c r="CK133">
        <v>7.7336157545641715E-2</v>
      </c>
      <c r="CL133">
        <v>0.11062950512491927</v>
      </c>
      <c r="CM133" s="14"/>
      <c r="CO133" s="33"/>
      <c r="CP133" s="39"/>
      <c r="CQ133" t="s">
        <v>184</v>
      </c>
      <c r="CR133">
        <v>6.9658165050941884E-2</v>
      </c>
      <c r="CS133">
        <v>6.4872792462538797E-2</v>
      </c>
      <c r="CT133">
        <v>8.9589626188245328E-2</v>
      </c>
      <c r="CU133">
        <v>6.1416670268377549E-2</v>
      </c>
      <c r="CV133">
        <v>0.13324707705508615</v>
      </c>
      <c r="CW133">
        <v>0.10761305877858407</v>
      </c>
      <c r="CX133">
        <v>0.11245340908975217</v>
      </c>
      <c r="CY133">
        <v>0.15846120095251701</v>
      </c>
      <c r="CZ133">
        <v>8.8891284899597078E-2</v>
      </c>
      <c r="DA133">
        <v>0.11379671525436008</v>
      </c>
      <c r="DB133" s="14"/>
      <c r="DD133" s="33"/>
      <c r="DE133" t="s">
        <v>184</v>
      </c>
      <c r="DF133">
        <v>7.0480091151227622E-2</v>
      </c>
      <c r="DG133">
        <v>7.2345359820887384E-2</v>
      </c>
      <c r="DH133">
        <v>0.11077457452214806</v>
      </c>
      <c r="DI133">
        <v>7.7941473731594976E-2</v>
      </c>
      <c r="DJ133">
        <v>0.13314209556992532</v>
      </c>
      <c r="DK133">
        <v>9.8434643008729464E-2</v>
      </c>
      <c r="DL133">
        <v>0.10440639702788618</v>
      </c>
      <c r="DM133">
        <v>0.14681062304068659</v>
      </c>
      <c r="DN133">
        <v>8.1079762096650645E-2</v>
      </c>
      <c r="DO133">
        <v>0.10458498003026365</v>
      </c>
      <c r="DP133" s="14"/>
    </row>
    <row r="134" spans="65:120" x14ac:dyDescent="0.35">
      <c r="BM134" s="33"/>
      <c r="BX134" s="14"/>
      <c r="CA134" s="33"/>
      <c r="CB134" t="s">
        <v>185</v>
      </c>
      <c r="CC134">
        <f>$CC$125*CC133</f>
        <v>7185.5822694191766</v>
      </c>
      <c r="CD134">
        <f t="shared" ref="CD134:CL134" si="47">$CC$125*CD133</f>
        <v>7360.4373162844258</v>
      </c>
      <c r="CE134">
        <f t="shared" si="47"/>
        <v>11409.221534544298</v>
      </c>
      <c r="CF134">
        <f t="shared" si="47"/>
        <v>7717.2783121715474</v>
      </c>
      <c r="CG134">
        <f t="shared" si="47"/>
        <v>14309.220374253799</v>
      </c>
      <c r="CH134">
        <f t="shared" si="47"/>
        <v>11069.616017936136</v>
      </c>
      <c r="CI134">
        <f t="shared" si="47"/>
        <v>11236.422909670267</v>
      </c>
      <c r="CJ134">
        <f t="shared" si="47"/>
        <v>15649.815185294899</v>
      </c>
      <c r="CK134">
        <f t="shared" si="47"/>
        <v>8184.4855530552622</v>
      </c>
      <c r="CL134">
        <f t="shared" si="47"/>
        <v>11707.920527370206</v>
      </c>
      <c r="CM134" s="14"/>
      <c r="CO134" s="33"/>
      <c r="CP134" s="39"/>
      <c r="CQ134" t="s">
        <v>185</v>
      </c>
      <c r="CR134">
        <f t="shared" ref="CR134:DA134" si="48">$CS$124*CR133</f>
        <v>4461.2751569882312</v>
      </c>
      <c r="CS134">
        <f t="shared" si="48"/>
        <v>4154.7947346290939</v>
      </c>
      <c r="CT134">
        <f t="shared" si="48"/>
        <v>5737.7907291297042</v>
      </c>
      <c r="CU134">
        <f t="shared" si="48"/>
        <v>3933.446496801535</v>
      </c>
      <c r="CV134">
        <f t="shared" si="48"/>
        <v>8533.843436335459</v>
      </c>
      <c r="CW134">
        <f t="shared" si="48"/>
        <v>6892.1061205863598</v>
      </c>
      <c r="CX134">
        <f t="shared" si="48"/>
        <v>7202.1076053877814</v>
      </c>
      <c r="CY134">
        <f t="shared" si="48"/>
        <v>10148.688508217101</v>
      </c>
      <c r="CZ134">
        <f t="shared" si="48"/>
        <v>5693.0652810811207</v>
      </c>
      <c r="DA134">
        <f t="shared" si="48"/>
        <v>7288.1399953597502</v>
      </c>
      <c r="DB134" s="14"/>
      <c r="DD134" s="33"/>
      <c r="DE134" t="s">
        <v>185</v>
      </c>
      <c r="DF134">
        <f>$DG$123*DF133</f>
        <v>5505.1200423857517</v>
      </c>
      <c r="DG134">
        <f t="shared" ref="DG134:DO134" si="49">$DG$123*DG133</f>
        <v>5650.814064201717</v>
      </c>
      <c r="DH134">
        <f t="shared" si="49"/>
        <v>8652.4764714071935</v>
      </c>
      <c r="DI134">
        <f t="shared" si="49"/>
        <v>6087.9201795046547</v>
      </c>
      <c r="DJ134">
        <f t="shared" si="49"/>
        <v>10399.578190591888</v>
      </c>
      <c r="DK134">
        <f t="shared" si="49"/>
        <v>7688.6184061497825</v>
      </c>
      <c r="DL134">
        <f t="shared" si="49"/>
        <v>8155.0653445982243</v>
      </c>
      <c r="DM134">
        <f t="shared" si="49"/>
        <v>11467.211380335251</v>
      </c>
      <c r="DN134">
        <f t="shared" si="49"/>
        <v>6333.0483269723391</v>
      </c>
      <c r="DO134">
        <f t="shared" si="49"/>
        <v>8169.0142605198589</v>
      </c>
      <c r="DP134" s="14"/>
    </row>
    <row r="135" spans="65:120" x14ac:dyDescent="0.35">
      <c r="BM135" s="33"/>
      <c r="BX135" s="14"/>
      <c r="CA135" s="33"/>
      <c r="CB135" t="s">
        <v>93</v>
      </c>
      <c r="CC135">
        <v>2.939178897831129E-5</v>
      </c>
      <c r="CD135">
        <v>1.4091193061226136E-5</v>
      </c>
      <c r="CE135">
        <v>7.0663034361205054E-5</v>
      </c>
      <c r="CF135">
        <v>1.9841952932252476E-2</v>
      </c>
      <c r="CG135">
        <v>0.24680561946439672</v>
      </c>
      <c r="CH135">
        <v>0.27060806196927933</v>
      </c>
      <c r="CI135">
        <v>0.25946737651294988</v>
      </c>
      <c r="CJ135">
        <v>0.19086979336250817</v>
      </c>
      <c r="CK135">
        <v>1.2233743990434401E-2</v>
      </c>
      <c r="CL135">
        <v>5.9305751778443699E-5</v>
      </c>
      <c r="CM135" s="14"/>
      <c r="CO135" s="33"/>
      <c r="CP135" s="39"/>
      <c r="CQ135" t="s">
        <v>93</v>
      </c>
      <c r="CR135">
        <v>7.3839484103017855E-2</v>
      </c>
      <c r="CS135">
        <v>7.3836523780520025E-2</v>
      </c>
      <c r="CT135">
        <v>0.11081536684324697</v>
      </c>
      <c r="CU135">
        <v>7.7240206651819257E-2</v>
      </c>
      <c r="CV135">
        <v>0.13943444893110551</v>
      </c>
      <c r="CW135">
        <v>0.10235734190440864</v>
      </c>
      <c r="CX135">
        <v>0.10095690068689643</v>
      </c>
      <c r="CY135">
        <v>0.13459763770699804</v>
      </c>
      <c r="CZ135">
        <v>7.6162665056660445E-2</v>
      </c>
      <c r="DA135">
        <v>0.11075942433532662</v>
      </c>
      <c r="DB135" s="14"/>
      <c r="DD135" s="33"/>
      <c r="DE135" t="s">
        <v>93</v>
      </c>
      <c r="DF135">
        <v>5.768422097466434E-5</v>
      </c>
      <c r="DG135">
        <v>2.5592451382869411E-5</v>
      </c>
      <c r="DH135">
        <v>1.0460109055229691E-3</v>
      </c>
      <c r="DI135">
        <v>3.1724543699943063E-2</v>
      </c>
      <c r="DJ135">
        <v>0.22730474518283689</v>
      </c>
      <c r="DK135">
        <v>0.2520603041042685</v>
      </c>
      <c r="DL135">
        <v>0.25072328565974822</v>
      </c>
      <c r="DM135">
        <v>0.21035676389799066</v>
      </c>
      <c r="DN135">
        <v>2.6549274199081069E-2</v>
      </c>
      <c r="DO135">
        <v>1.5179567825133035E-4</v>
      </c>
      <c r="DP135" s="14"/>
    </row>
    <row r="136" spans="65:120" x14ac:dyDescent="0.35">
      <c r="BM136" s="33"/>
      <c r="BX136" s="14"/>
      <c r="CA136" s="33"/>
      <c r="CB136" t="s">
        <v>189</v>
      </c>
      <c r="CC136">
        <f>$CC$126*CC135</f>
        <v>4.308444373700724E-2</v>
      </c>
      <c r="CD136">
        <f t="shared" ref="CD136:CL136" si="50">$CC$126*CD135</f>
        <v>2.0655810202016015E-2</v>
      </c>
      <c r="CE136">
        <f t="shared" si="50"/>
        <v>0.10358258663561178</v>
      </c>
      <c r="CF136">
        <f t="shared" si="50"/>
        <v>29.085657404957828</v>
      </c>
      <c r="CG136">
        <f t="shared" si="50"/>
        <v>361.78413071887695</v>
      </c>
      <c r="CH136">
        <f t="shared" si="50"/>
        <v>396.67533777203425</v>
      </c>
      <c r="CI136">
        <f t="shared" si="50"/>
        <v>380.34457831778275</v>
      </c>
      <c r="CJ136">
        <f t="shared" si="50"/>
        <v>279.7896677636553</v>
      </c>
      <c r="CK136">
        <f t="shared" si="50"/>
        <v>17.933037524111441</v>
      </c>
      <c r="CL136">
        <f t="shared" si="50"/>
        <v>8.6934324673627994E-2</v>
      </c>
      <c r="CM136" s="14"/>
      <c r="CO136" s="33"/>
      <c r="CP136" s="39"/>
      <c r="CQ136" t="s">
        <v>189</v>
      </c>
      <c r="CR136">
        <f t="shared" ref="CR136:DA136" si="51">$CS$125*CR135</f>
        <v>106.87669844201326</v>
      </c>
      <c r="CS136">
        <f t="shared" si="51"/>
        <v>106.87241361393335</v>
      </c>
      <c r="CT136">
        <f t="shared" si="51"/>
        <v>160.39630678246749</v>
      </c>
      <c r="CU136">
        <f t="shared" si="51"/>
        <v>111.79897007958485</v>
      </c>
      <c r="CV136">
        <f t="shared" si="51"/>
        <v>201.82012011415176</v>
      </c>
      <c r="CW136">
        <f t="shared" si="51"/>
        <v>148.15399778228436</v>
      </c>
      <c r="CX136">
        <f t="shared" si="51"/>
        <v>146.12697205874332</v>
      </c>
      <c r="CY136">
        <f t="shared" si="51"/>
        <v>194.81922593267748</v>
      </c>
      <c r="CZ136">
        <f t="shared" si="51"/>
        <v>110.2393155191082</v>
      </c>
      <c r="DA136">
        <f t="shared" si="51"/>
        <v>160.31533451374534</v>
      </c>
      <c r="DB136" s="14"/>
      <c r="DD136" s="33"/>
      <c r="DE136" t="s">
        <v>189</v>
      </c>
      <c r="DF136">
        <f>$DG$124*DF135</f>
        <v>8.3663271294287328E-2</v>
      </c>
      <c r="DG136">
        <f t="shared" ref="DG136:DO136" si="52">$DG$124*DG135</f>
        <v>3.7118438404001031E-2</v>
      </c>
      <c r="DH136">
        <f t="shared" si="52"/>
        <v>1.5170993503403303</v>
      </c>
      <c r="DI136">
        <f t="shared" si="52"/>
        <v>46.012220697607418</v>
      </c>
      <c r="DJ136">
        <f t="shared" si="52"/>
        <v>329.67522558834719</v>
      </c>
      <c r="DK136">
        <f t="shared" si="52"/>
        <v>365.57986306269419</v>
      </c>
      <c r="DL136">
        <f t="shared" si="52"/>
        <v>363.64069607804345</v>
      </c>
      <c r="DM136">
        <f t="shared" si="52"/>
        <v>305.09443846551568</v>
      </c>
      <c r="DN136">
        <f t="shared" si="52"/>
        <v>38.506182322540546</v>
      </c>
      <c r="DO136">
        <f t="shared" si="52"/>
        <v>0.22015939187978781</v>
      </c>
      <c r="DP136" s="14"/>
    </row>
    <row r="137" spans="65:120" x14ac:dyDescent="0.35">
      <c r="BM137" s="33"/>
      <c r="BN137" s="33"/>
      <c r="BO137" t="s">
        <v>154</v>
      </c>
      <c r="BP137" t="s">
        <v>155</v>
      </c>
      <c r="BQ137" t="s">
        <v>156</v>
      </c>
      <c r="BR137" t="s">
        <v>157</v>
      </c>
      <c r="BS137" t="s">
        <v>158</v>
      </c>
      <c r="BT137" t="s">
        <v>159</v>
      </c>
      <c r="BU137" t="s">
        <v>160</v>
      </c>
      <c r="BV137" t="s">
        <v>161</v>
      </c>
      <c r="BW137" t="s">
        <v>162</v>
      </c>
      <c r="BX137" s="14" t="s">
        <v>163</v>
      </c>
      <c r="CA137" s="33"/>
      <c r="CB137" t="s">
        <v>172</v>
      </c>
      <c r="CC137">
        <f>$CF$124/10</f>
        <v>8155.2066666666669</v>
      </c>
      <c r="CD137">
        <f t="shared" ref="CD137:CL137" si="53">$CF$124/10</f>
        <v>8155.2066666666669</v>
      </c>
      <c r="CE137">
        <f t="shared" si="53"/>
        <v>8155.2066666666669</v>
      </c>
      <c r="CF137">
        <f t="shared" si="53"/>
        <v>8155.2066666666669</v>
      </c>
      <c r="CG137">
        <f t="shared" si="53"/>
        <v>8155.2066666666669</v>
      </c>
      <c r="CH137">
        <f t="shared" si="53"/>
        <v>8155.2066666666669</v>
      </c>
      <c r="CI137">
        <f t="shared" si="53"/>
        <v>8155.2066666666669</v>
      </c>
      <c r="CJ137">
        <f t="shared" si="53"/>
        <v>8155.2066666666669</v>
      </c>
      <c r="CK137">
        <f t="shared" si="53"/>
        <v>8155.2066666666669</v>
      </c>
      <c r="CL137">
        <f t="shared" si="53"/>
        <v>8155.2066666666669</v>
      </c>
      <c r="CM137" s="14"/>
      <c r="CO137" s="33"/>
      <c r="CP137" s="39"/>
      <c r="CQ137" t="s">
        <v>172</v>
      </c>
      <c r="CR137">
        <f t="shared" ref="CR137:DA137" si="54">$CS$126/10</f>
        <v>7692.4709677419351</v>
      </c>
      <c r="CS137">
        <f t="shared" si="54"/>
        <v>7692.4709677419351</v>
      </c>
      <c r="CT137">
        <f t="shared" si="54"/>
        <v>7692.4709677419351</v>
      </c>
      <c r="CU137">
        <f t="shared" si="54"/>
        <v>7692.4709677419351</v>
      </c>
      <c r="CV137">
        <f t="shared" si="54"/>
        <v>7692.4709677419351</v>
      </c>
      <c r="CW137">
        <f t="shared" si="54"/>
        <v>7692.4709677419351</v>
      </c>
      <c r="CX137">
        <f t="shared" si="54"/>
        <v>7692.4709677419351</v>
      </c>
      <c r="CY137">
        <f t="shared" si="54"/>
        <v>7692.4709677419351</v>
      </c>
      <c r="CZ137">
        <f t="shared" si="54"/>
        <v>7692.4709677419351</v>
      </c>
      <c r="DA137">
        <f t="shared" si="54"/>
        <v>7692.4709677419351</v>
      </c>
      <c r="DB137" s="14"/>
      <c r="DD137" s="33"/>
      <c r="DE137" t="s">
        <v>172</v>
      </c>
      <c r="DF137">
        <f>$DG$126/10</f>
        <v>7830.4666666666672</v>
      </c>
      <c r="DG137">
        <f t="shared" ref="DG137:DO137" si="55">$DG$126/10</f>
        <v>7830.4666666666672</v>
      </c>
      <c r="DH137">
        <f t="shared" si="55"/>
        <v>7830.4666666666672</v>
      </c>
      <c r="DI137">
        <f t="shared" si="55"/>
        <v>7830.4666666666672</v>
      </c>
      <c r="DJ137">
        <f t="shared" si="55"/>
        <v>7830.4666666666672</v>
      </c>
      <c r="DK137">
        <f t="shared" si="55"/>
        <v>7830.4666666666672</v>
      </c>
      <c r="DL137">
        <f t="shared" si="55"/>
        <v>7830.4666666666672</v>
      </c>
      <c r="DM137">
        <f t="shared" si="55"/>
        <v>7830.4666666666672</v>
      </c>
      <c r="DN137">
        <f t="shared" si="55"/>
        <v>7830.4666666666672</v>
      </c>
      <c r="DO137">
        <f t="shared" si="55"/>
        <v>7830.4666666666672</v>
      </c>
      <c r="DP137" s="14"/>
    </row>
    <row r="138" spans="65:120" x14ac:dyDescent="0.35">
      <c r="BM138" s="33"/>
      <c r="BN138" s="33" t="s">
        <v>181</v>
      </c>
      <c r="BO138">
        <v>7.7745383867832848E-2</v>
      </c>
      <c r="BP138">
        <v>6.8027210884353748E-2</v>
      </c>
      <c r="BQ138">
        <v>6.8027210884353748E-2</v>
      </c>
      <c r="BR138">
        <v>8.2604470359572399E-2</v>
      </c>
      <c r="BS138">
        <v>0.11661807580174927</v>
      </c>
      <c r="BT138">
        <v>0.11273080660835763</v>
      </c>
      <c r="BU138">
        <v>0.11661807580174927</v>
      </c>
      <c r="BV138">
        <v>0.11273080660835763</v>
      </c>
      <c r="BW138">
        <v>0.1360544217687075</v>
      </c>
      <c r="BX138" s="14">
        <v>0.10884353741496598</v>
      </c>
      <c r="CA138" s="33"/>
      <c r="CB138" t="s">
        <v>170</v>
      </c>
      <c r="CC138">
        <f>$CF$125/10</f>
        <v>50192.979999999996</v>
      </c>
      <c r="CD138">
        <f t="shared" ref="CD138:CL138" si="56">$CF$125/10</f>
        <v>50192.979999999996</v>
      </c>
      <c r="CE138">
        <f t="shared" si="56"/>
        <v>50192.979999999996</v>
      </c>
      <c r="CF138">
        <f t="shared" si="56"/>
        <v>50192.979999999996</v>
      </c>
      <c r="CG138">
        <f t="shared" si="56"/>
        <v>50192.979999999996</v>
      </c>
      <c r="CH138">
        <f t="shared" si="56"/>
        <v>50192.979999999996</v>
      </c>
      <c r="CI138">
        <f t="shared" si="56"/>
        <v>50192.979999999996</v>
      </c>
      <c r="CJ138">
        <f t="shared" si="56"/>
        <v>50192.979999999996</v>
      </c>
      <c r="CK138">
        <f t="shared" si="56"/>
        <v>50192.979999999996</v>
      </c>
      <c r="CL138">
        <f t="shared" si="56"/>
        <v>50192.979999999996</v>
      </c>
      <c r="CM138" s="14"/>
      <c r="CO138" s="33"/>
      <c r="CP138" s="39"/>
      <c r="CQ138" t="s">
        <v>170</v>
      </c>
      <c r="CR138">
        <f t="shared" ref="CR138:DA138" si="57">$CS$127/10</f>
        <v>45387.054838709679</v>
      </c>
      <c r="CS138">
        <f t="shared" si="57"/>
        <v>45387.054838709679</v>
      </c>
      <c r="CT138">
        <f t="shared" si="57"/>
        <v>45387.054838709679</v>
      </c>
      <c r="CU138">
        <f t="shared" si="57"/>
        <v>45387.054838709679</v>
      </c>
      <c r="CV138">
        <f t="shared" si="57"/>
        <v>45387.054838709679</v>
      </c>
      <c r="CW138">
        <f t="shared" si="57"/>
        <v>45387.054838709679</v>
      </c>
      <c r="CX138">
        <f t="shared" si="57"/>
        <v>45387.054838709679</v>
      </c>
      <c r="CY138">
        <f t="shared" si="57"/>
        <v>45387.054838709679</v>
      </c>
      <c r="CZ138">
        <f t="shared" si="57"/>
        <v>45387.054838709679</v>
      </c>
      <c r="DA138">
        <f t="shared" si="57"/>
        <v>45387.054838709679</v>
      </c>
      <c r="DB138" s="14"/>
      <c r="DD138" s="33"/>
      <c r="DE138" t="s">
        <v>170</v>
      </c>
      <c r="DF138">
        <f>$DG$125/10</f>
        <v>41238.996666666666</v>
      </c>
      <c r="DG138">
        <f t="shared" ref="DG138:DO138" si="58">$DG$125/10</f>
        <v>41238.996666666666</v>
      </c>
      <c r="DH138">
        <f t="shared" si="58"/>
        <v>41238.996666666666</v>
      </c>
      <c r="DI138">
        <f t="shared" si="58"/>
        <v>41238.996666666666</v>
      </c>
      <c r="DJ138">
        <f t="shared" si="58"/>
        <v>41238.996666666666</v>
      </c>
      <c r="DK138">
        <f t="shared" si="58"/>
        <v>41238.996666666666</v>
      </c>
      <c r="DL138">
        <f t="shared" si="58"/>
        <v>41238.996666666666</v>
      </c>
      <c r="DM138">
        <f t="shared" si="58"/>
        <v>41238.996666666666</v>
      </c>
      <c r="DN138">
        <f t="shared" si="58"/>
        <v>41238.996666666666</v>
      </c>
      <c r="DO138">
        <f t="shared" si="58"/>
        <v>41238.996666666666</v>
      </c>
      <c r="DP138" s="14"/>
    </row>
    <row r="139" spans="65:120" x14ac:dyDescent="0.35">
      <c r="BM139" s="33"/>
      <c r="BN139" s="33" t="s">
        <v>181</v>
      </c>
      <c r="BO139">
        <f>$BP$126*BO138</f>
        <v>88876.561647700553</v>
      </c>
      <c r="BP139">
        <f t="shared" ref="BP139:BX139" si="59">$BP$126*BP138</f>
        <v>77766.991441737991</v>
      </c>
      <c r="BQ139">
        <f t="shared" si="59"/>
        <v>77766.991441737991</v>
      </c>
      <c r="BR139">
        <f t="shared" si="59"/>
        <v>94431.346750681842</v>
      </c>
      <c r="BS139">
        <f t="shared" si="59"/>
        <v>133314.84247155083</v>
      </c>
      <c r="BT139">
        <f t="shared" si="59"/>
        <v>128871.01438916581</v>
      </c>
      <c r="BU139">
        <f t="shared" si="59"/>
        <v>133314.84247155083</v>
      </c>
      <c r="BV139">
        <f t="shared" si="59"/>
        <v>128871.01438916581</v>
      </c>
      <c r="BW139">
        <f t="shared" si="59"/>
        <v>155533.98288347598</v>
      </c>
      <c r="BX139" s="14">
        <f t="shared" si="59"/>
        <v>124427.18630678077</v>
      </c>
      <c r="CA139" s="33"/>
      <c r="CM139" s="14"/>
      <c r="CO139" s="33"/>
      <c r="CP139" s="39"/>
      <c r="DB139" s="14"/>
      <c r="DD139" s="33"/>
      <c r="DP139" s="14"/>
    </row>
    <row r="140" spans="65:120" x14ac:dyDescent="0.35">
      <c r="BM140" s="33"/>
      <c r="BN140" s="33" t="s">
        <v>184</v>
      </c>
      <c r="BO140">
        <v>6.9392884393387588E-2</v>
      </c>
      <c r="BP140">
        <v>7.1029677525766305E-2</v>
      </c>
      <c r="BQ140">
        <v>0.10077589673363907</v>
      </c>
      <c r="BR140">
        <v>7.446355410483721E-2</v>
      </c>
      <c r="BS140">
        <v>0.12708640747202571</v>
      </c>
      <c r="BT140">
        <v>0.10109739328617787</v>
      </c>
      <c r="BU140">
        <v>0.10801185965227267</v>
      </c>
      <c r="BV140">
        <v>0.15165112769061259</v>
      </c>
      <c r="BW140">
        <v>8.0205611258292439E-2</v>
      </c>
      <c r="BX140" s="14">
        <v>0.11628558788298854</v>
      </c>
      <c r="CA140" s="33"/>
      <c r="CB140" t="s">
        <v>194</v>
      </c>
      <c r="CC140">
        <f>SUM(CC134,CC136,CC137:CC138)</f>
        <v>65533.812020529578</v>
      </c>
      <c r="CD140">
        <f t="shared" ref="CD140:CL140" si="60">SUM(CD134,CD136,CD137:CD138)</f>
        <v>65708.644638761296</v>
      </c>
      <c r="CE140">
        <f t="shared" si="60"/>
        <v>69757.511783797599</v>
      </c>
      <c r="CF140">
        <f t="shared" si="60"/>
        <v>66094.550636243162</v>
      </c>
      <c r="CG140">
        <f t="shared" si="60"/>
        <v>73019.191171639337</v>
      </c>
      <c r="CH140">
        <f t="shared" si="60"/>
        <v>69814.478022374824</v>
      </c>
      <c r="CI140">
        <f t="shared" si="60"/>
        <v>69964.954154654712</v>
      </c>
      <c r="CJ140">
        <f t="shared" si="60"/>
        <v>74277.791519725215</v>
      </c>
      <c r="CK140">
        <f t="shared" si="60"/>
        <v>66550.605257246032</v>
      </c>
      <c r="CL140">
        <f t="shared" si="60"/>
        <v>70056.194128361545</v>
      </c>
      <c r="CM140" s="14"/>
      <c r="CO140" s="33"/>
      <c r="CP140" s="39"/>
      <c r="CQ140" t="s">
        <v>194</v>
      </c>
      <c r="CR140">
        <f t="shared" ref="CR140:DA140" si="61">SUM(CR136:CR138,CR134)</f>
        <v>57647.677661881862</v>
      </c>
      <c r="CS140">
        <f t="shared" si="61"/>
        <v>57341.192954694641</v>
      </c>
      <c r="CT140">
        <f t="shared" si="61"/>
        <v>58977.712842363784</v>
      </c>
      <c r="CU140">
        <f t="shared" si="61"/>
        <v>57124.771273332735</v>
      </c>
      <c r="CV140">
        <f t="shared" si="61"/>
        <v>61815.189362901227</v>
      </c>
      <c r="CW140">
        <f t="shared" si="61"/>
        <v>60119.785924820259</v>
      </c>
      <c r="CX140">
        <f t="shared" si="61"/>
        <v>60427.760383898138</v>
      </c>
      <c r="CY140">
        <f t="shared" si="61"/>
        <v>63423.033540601391</v>
      </c>
      <c r="CZ140">
        <f t="shared" si="61"/>
        <v>58882.830403051841</v>
      </c>
      <c r="DA140">
        <f t="shared" si="61"/>
        <v>60527.981136325106</v>
      </c>
      <c r="DB140" s="14"/>
      <c r="DD140" s="33"/>
      <c r="DE140" t="s">
        <v>194</v>
      </c>
      <c r="DF140">
        <f>SUM(DF134,DF136:DF138)</f>
        <v>54574.667038990381</v>
      </c>
      <c r="DG140">
        <f t="shared" ref="DG140:DO140" si="62">SUM(DG134,DG136:DG138)</f>
        <v>54720.314515973456</v>
      </c>
      <c r="DH140">
        <f t="shared" si="62"/>
        <v>57723.456904090868</v>
      </c>
      <c r="DI140">
        <f t="shared" si="62"/>
        <v>55203.395733535595</v>
      </c>
      <c r="DJ140">
        <f t="shared" si="62"/>
        <v>59798.716749513565</v>
      </c>
      <c r="DK140">
        <f t="shared" si="62"/>
        <v>57123.661602545806</v>
      </c>
      <c r="DL140">
        <f t="shared" si="62"/>
        <v>57588.169374009602</v>
      </c>
      <c r="DM140">
        <f t="shared" si="62"/>
        <v>60841.769152134104</v>
      </c>
      <c r="DN140">
        <f t="shared" si="62"/>
        <v>55441.017842628215</v>
      </c>
      <c r="DO140">
        <f t="shared" si="62"/>
        <v>57238.697753245069</v>
      </c>
      <c r="DP140" s="14"/>
    </row>
    <row r="141" spans="65:120" x14ac:dyDescent="0.35">
      <c r="BM141" s="33"/>
      <c r="BN141" s="33" t="s">
        <v>185</v>
      </c>
      <c r="BO141">
        <f>$BP$128*BO140</f>
        <v>4025.6379172703346</v>
      </c>
      <c r="BP141">
        <f t="shared" ref="BP141:BX141" si="63">$BP$128*BP140</f>
        <v>4120.5919828641163</v>
      </c>
      <c r="BQ141">
        <f t="shared" si="63"/>
        <v>5846.2373279948979</v>
      </c>
      <c r="BR141">
        <f t="shared" si="63"/>
        <v>4319.7989171308755</v>
      </c>
      <c r="BS141">
        <f t="shared" si="63"/>
        <v>7372.5694667594062</v>
      </c>
      <c r="BT141">
        <f t="shared" si="63"/>
        <v>5864.8880689676307</v>
      </c>
      <c r="BU141">
        <f t="shared" si="63"/>
        <v>6266.0118761759395</v>
      </c>
      <c r="BV141">
        <f t="shared" si="63"/>
        <v>8797.6243553627064</v>
      </c>
      <c r="BW141">
        <f t="shared" si="63"/>
        <v>4652.9086185383212</v>
      </c>
      <c r="BX141" s="14">
        <f t="shared" si="63"/>
        <v>6745.9895334519006</v>
      </c>
      <c r="CA141" s="33"/>
      <c r="CD141" s="40"/>
      <c r="CM141" s="14"/>
      <c r="CO141" s="33"/>
      <c r="CP141" s="39"/>
      <c r="CQ141" t="s">
        <v>204</v>
      </c>
      <c r="CR141">
        <f t="shared" ref="CR141:DA141" si="64">CR140-CR132</f>
        <v>14445.327718886758</v>
      </c>
      <c r="CS141">
        <f t="shared" si="64"/>
        <v>19539.136754573927</v>
      </c>
      <c r="CT141">
        <f t="shared" si="64"/>
        <v>21175.65664224307</v>
      </c>
      <c r="CU141">
        <f t="shared" si="64"/>
        <v>16082.538827487384</v>
      </c>
      <c r="CV141">
        <f t="shared" si="64"/>
        <v>5652.1344370075894</v>
      </c>
      <c r="CW141">
        <f t="shared" si="64"/>
        <v>-4683.738989672398</v>
      </c>
      <c r="CX141">
        <f t="shared" si="64"/>
        <v>-4375.7645305945189</v>
      </c>
      <c r="CY141">
        <f t="shared" si="64"/>
        <v>5099.8611175580008</v>
      </c>
      <c r="CZ141">
        <f t="shared" si="64"/>
        <v>2719.775477158204</v>
      </c>
      <c r="DA141">
        <f t="shared" si="64"/>
        <v>1124.7499647068325</v>
      </c>
      <c r="DB141" s="14"/>
      <c r="DD141" s="33"/>
      <c r="DG141" s="39"/>
      <c r="DP141" s="14"/>
    </row>
    <row r="142" spans="65:120" x14ac:dyDescent="0.35">
      <c r="BM142" s="33"/>
      <c r="BN142" s="33" t="s">
        <v>93</v>
      </c>
      <c r="BO142">
        <v>1.0680110074174476E-4</v>
      </c>
      <c r="BP142">
        <v>6.6943153807714624E-5</v>
      </c>
      <c r="BQ142">
        <v>2.0411509678201244E-4</v>
      </c>
      <c r="BR142">
        <v>8.7456457070874388E-3</v>
      </c>
      <c r="BS142">
        <v>0.20393497910106637</v>
      </c>
      <c r="BT142">
        <v>0.27425996775513634</v>
      </c>
      <c r="BU142">
        <v>0.29458565176992152</v>
      </c>
      <c r="BV142">
        <v>0.21151153559656435</v>
      </c>
      <c r="BW142">
        <v>6.4451094831272241E-3</v>
      </c>
      <c r="BX142" s="14">
        <v>1.3925123576538794E-4</v>
      </c>
      <c r="CA142" s="33"/>
      <c r="CD142" s="40"/>
      <c r="CM142" s="14"/>
      <c r="CO142" s="33"/>
      <c r="CP142" s="39"/>
      <c r="CR142" s="157">
        <f>CR141+CS141+CT141+CU141+CV141</f>
        <v>76894.794380198728</v>
      </c>
      <c r="CS142" s="157"/>
      <c r="CT142" s="157"/>
      <c r="CU142" s="157"/>
      <c r="CV142" s="157"/>
      <c r="CW142" s="157">
        <f>CW141+CX141</f>
        <v>-9059.5035202669169</v>
      </c>
      <c r="CX142" s="157"/>
      <c r="CY142">
        <f>CY141</f>
        <v>5099.8611175580008</v>
      </c>
      <c r="CZ142" s="157">
        <f>CZ141+DA141</f>
        <v>3844.5254418650366</v>
      </c>
      <c r="DA142" s="157"/>
      <c r="DB142" s="14"/>
      <c r="DD142" s="33"/>
      <c r="DG142" s="39"/>
      <c r="DP142" s="14"/>
    </row>
    <row r="143" spans="65:120" x14ac:dyDescent="0.35">
      <c r="BM143" s="33"/>
      <c r="BN143" s="33" t="s">
        <v>189</v>
      </c>
      <c r="BO143">
        <f>$BP$129*BO142</f>
        <v>0.10533689210254342</v>
      </c>
      <c r="BP143">
        <f t="shared" ref="BP143:BX143" si="65">$BP$129*BP142</f>
        <v>6.6025384763576597E-2</v>
      </c>
      <c r="BQ143">
        <f t="shared" si="65"/>
        <v>0.20131674464871063</v>
      </c>
      <c r="BR143">
        <f t="shared" si="65"/>
        <v>8.6257457256193035</v>
      </c>
      <c r="BS143">
        <f t="shared" si="65"/>
        <v>201.13909632306786</v>
      </c>
      <c r="BT143">
        <f t="shared" si="65"/>
        <v>270.49995206817073</v>
      </c>
      <c r="BU143">
        <f t="shared" si="65"/>
        <v>290.54697751178549</v>
      </c>
      <c r="BV143">
        <f t="shared" si="65"/>
        <v>208.61178067306307</v>
      </c>
      <c r="BW143">
        <f t="shared" si="65"/>
        <v>6.3567491111811245</v>
      </c>
      <c r="BX143" s="14">
        <f t="shared" si="65"/>
        <v>0.13734214624279795</v>
      </c>
      <c r="CA143" s="33"/>
      <c r="CD143" s="40"/>
      <c r="CM143" s="14"/>
      <c r="CO143" s="33"/>
      <c r="DB143" s="14"/>
      <c r="DD143" s="33"/>
      <c r="DG143" s="39"/>
      <c r="DP143" s="14"/>
    </row>
    <row r="144" spans="65:120" x14ac:dyDescent="0.35">
      <c r="BM144" s="33"/>
      <c r="BN144" s="33" t="s">
        <v>172</v>
      </c>
      <c r="BO144">
        <f>$BP$130/10</f>
        <v>8176.4290322580655</v>
      </c>
      <c r="BP144">
        <f t="shared" ref="BP144:BX144" si="66">$BP$130/10</f>
        <v>8176.4290322580655</v>
      </c>
      <c r="BQ144">
        <f t="shared" si="66"/>
        <v>8176.4290322580655</v>
      </c>
      <c r="BR144">
        <f t="shared" si="66"/>
        <v>8176.4290322580655</v>
      </c>
      <c r="BS144">
        <f t="shared" si="66"/>
        <v>8176.4290322580655</v>
      </c>
      <c r="BT144">
        <f t="shared" si="66"/>
        <v>8176.4290322580655</v>
      </c>
      <c r="BU144">
        <f t="shared" si="66"/>
        <v>8176.4290322580655</v>
      </c>
      <c r="BV144">
        <f t="shared" si="66"/>
        <v>8176.4290322580655</v>
      </c>
      <c r="BW144">
        <f t="shared" si="66"/>
        <v>8176.4290322580655</v>
      </c>
      <c r="BX144" s="14">
        <f t="shared" si="66"/>
        <v>8176.4290322580655</v>
      </c>
      <c r="CA144" s="33"/>
      <c r="CD144" s="40"/>
      <c r="CM144" s="14"/>
      <c r="CO144" s="155" t="s">
        <v>205</v>
      </c>
      <c r="CP144" s="156"/>
      <c r="DB144" s="14"/>
      <c r="DD144" s="33"/>
      <c r="DG144" s="39"/>
      <c r="DP144" s="14"/>
    </row>
    <row r="145" spans="65:120" x14ac:dyDescent="0.35">
      <c r="BM145" s="33"/>
      <c r="BN145" s="33" t="s">
        <v>170</v>
      </c>
      <c r="BO145">
        <f>$BP$131/10</f>
        <v>49309.025806451609</v>
      </c>
      <c r="BP145">
        <f t="shared" ref="BP145:BX145" si="67">$BP$131/10</f>
        <v>49309.025806451609</v>
      </c>
      <c r="BQ145">
        <f t="shared" si="67"/>
        <v>49309.025806451609</v>
      </c>
      <c r="BR145">
        <f t="shared" si="67"/>
        <v>49309.025806451609</v>
      </c>
      <c r="BS145">
        <f t="shared" si="67"/>
        <v>49309.025806451609</v>
      </c>
      <c r="BT145">
        <f t="shared" si="67"/>
        <v>49309.025806451609</v>
      </c>
      <c r="BU145">
        <f t="shared" si="67"/>
        <v>49309.025806451609</v>
      </c>
      <c r="BV145">
        <f t="shared" si="67"/>
        <v>49309.025806451609</v>
      </c>
      <c r="BW145">
        <f t="shared" si="67"/>
        <v>49309.025806451609</v>
      </c>
      <c r="BX145" s="14">
        <f t="shared" si="67"/>
        <v>49309.025806451609</v>
      </c>
      <c r="CA145" s="33"/>
      <c r="CD145" s="40"/>
      <c r="CM145" s="14"/>
      <c r="CO145" s="33" t="s">
        <v>206</v>
      </c>
      <c r="DB145" s="14"/>
      <c r="DD145" s="33"/>
      <c r="DG145" s="39"/>
      <c r="DP145" s="14"/>
    </row>
    <row r="146" spans="65:120" ht="14.5" customHeight="1" x14ac:dyDescent="0.35">
      <c r="BM146" s="33"/>
      <c r="BN146" s="33"/>
      <c r="BX146" s="14"/>
      <c r="CA146" s="33"/>
      <c r="CD146" s="40"/>
      <c r="CM146" s="14"/>
      <c r="CO146" s="33">
        <f>9059.5/0.8</f>
        <v>11324.375</v>
      </c>
      <c r="CR146" s="153" t="s">
        <v>207</v>
      </c>
      <c r="CS146" s="154"/>
      <c r="CT146" s="100">
        <v>11324.375</v>
      </c>
      <c r="CU146" s="27" t="s">
        <v>208</v>
      </c>
      <c r="DB146" s="14"/>
      <c r="DD146" s="33"/>
      <c r="DG146" s="39"/>
      <c r="DP146" s="14"/>
    </row>
    <row r="147" spans="65:120" x14ac:dyDescent="0.35">
      <c r="BM147" s="33"/>
      <c r="BN147" s="33" t="s">
        <v>194</v>
      </c>
      <c r="BO147">
        <f>SUM(BO145,BO144,BO143,BO141)</f>
        <v>61511.198092872117</v>
      </c>
      <c r="BP147">
        <f t="shared" ref="BP147:BX147" si="68">SUM(BP145,BP144,BP143,BP141)</f>
        <v>61606.112846958553</v>
      </c>
      <c r="BQ147">
        <f t="shared" si="68"/>
        <v>63331.893483449217</v>
      </c>
      <c r="BR147">
        <f t="shared" si="68"/>
        <v>61813.879501566167</v>
      </c>
      <c r="BS147">
        <f t="shared" si="68"/>
        <v>65059.163401792146</v>
      </c>
      <c r="BT147">
        <f t="shared" si="68"/>
        <v>63620.842859745477</v>
      </c>
      <c r="BU147">
        <f t="shared" si="68"/>
        <v>64042.013692397399</v>
      </c>
      <c r="BV147">
        <f t="shared" si="68"/>
        <v>66491.690974745434</v>
      </c>
      <c r="BW147">
        <f t="shared" si="68"/>
        <v>62144.720206359176</v>
      </c>
      <c r="BX147" s="14">
        <f t="shared" si="68"/>
        <v>64231.581714307817</v>
      </c>
      <c r="CA147" s="33"/>
      <c r="CD147" s="40"/>
      <c r="CM147" s="14"/>
      <c r="CO147" s="33"/>
      <c r="DB147" s="14"/>
      <c r="DD147" s="33"/>
      <c r="DG147" s="39"/>
      <c r="DP147" s="14"/>
    </row>
    <row r="148" spans="65:120" x14ac:dyDescent="0.35">
      <c r="BM148" s="33"/>
      <c r="BX148" s="14"/>
      <c r="CA148" s="33"/>
      <c r="CD148" s="40"/>
      <c r="CM148" s="14"/>
      <c r="CO148" s="33"/>
      <c r="DB148" s="14"/>
      <c r="DD148" s="33"/>
      <c r="DG148" s="39"/>
      <c r="DP148" s="14"/>
    </row>
    <row r="149" spans="65:120" x14ac:dyDescent="0.35">
      <c r="BM149" s="33"/>
      <c r="BX149" s="14"/>
      <c r="CA149" s="33"/>
      <c r="CM149" s="14"/>
      <c r="CO149" s="33"/>
      <c r="DB149" s="14"/>
      <c r="DD149" s="33"/>
      <c r="DG149" s="39"/>
      <c r="DP149" s="14"/>
    </row>
    <row r="150" spans="65:120" x14ac:dyDescent="0.35">
      <c r="BM150" s="33"/>
      <c r="BX150" s="14"/>
      <c r="CA150" s="33"/>
      <c r="CM150" s="14"/>
      <c r="CO150" s="33" t="s">
        <v>209</v>
      </c>
      <c r="DB150" s="14"/>
      <c r="DD150" s="33"/>
      <c r="DP150" s="14"/>
    </row>
    <row r="151" spans="65:120" x14ac:dyDescent="0.35">
      <c r="BM151" s="33"/>
      <c r="BX151" s="14"/>
      <c r="CA151" s="33"/>
      <c r="CM151" s="14"/>
      <c r="CO151" s="33"/>
      <c r="DB151" s="14"/>
      <c r="DD151" s="33"/>
      <c r="DP151" s="14"/>
    </row>
    <row r="152" spans="65:120" x14ac:dyDescent="0.35">
      <c r="BM152" s="33"/>
      <c r="BX152" s="14"/>
      <c r="CA152" s="33"/>
      <c r="CM152" s="14"/>
      <c r="CO152" s="98" t="s">
        <v>210</v>
      </c>
      <c r="CP152" s="98" t="s">
        <v>211</v>
      </c>
      <c r="CQ152" s="98" t="s">
        <v>212</v>
      </c>
      <c r="CR152" s="25" t="s">
        <v>213</v>
      </c>
      <c r="CS152" s="25" t="s">
        <v>214</v>
      </c>
      <c r="DB152" s="14"/>
      <c r="DD152" s="33"/>
      <c r="DP152" s="14"/>
    </row>
    <row r="153" spans="65:120" x14ac:dyDescent="0.35">
      <c r="BM153" s="33"/>
      <c r="BX153" s="14"/>
      <c r="CA153" s="33"/>
      <c r="CM153" s="14"/>
      <c r="CO153" s="98">
        <f>ROUND(CO146/Batteries!B2,0)</f>
        <v>821</v>
      </c>
      <c r="CP153" s="98">
        <f>ROUND(CO146/Batteries!B14,0)</f>
        <v>4424</v>
      </c>
      <c r="CQ153" s="98">
        <f>ROUND('São Miguel'!CO146/Batteries!B26,0)</f>
        <v>8847</v>
      </c>
      <c r="CR153" s="99">
        <f>CO146/Batteries!I4</f>
        <v>102.94886363636364</v>
      </c>
      <c r="CS153" s="99">
        <f>CO146/Batteries!I23</f>
        <v>2633.5755813953488</v>
      </c>
      <c r="DB153" s="14"/>
      <c r="DD153" s="33"/>
      <c r="DP153" s="14"/>
    </row>
    <row r="154" spans="65:120" x14ac:dyDescent="0.35">
      <c r="BM154" s="33"/>
      <c r="BX154" s="14"/>
      <c r="CA154" s="33"/>
      <c r="CM154" s="14"/>
      <c r="DB154" s="14"/>
      <c r="DD154" s="33"/>
      <c r="DP154" s="14"/>
    </row>
    <row r="155" spans="65:120" x14ac:dyDescent="0.35">
      <c r="BM155" s="33"/>
      <c r="BX155" s="14"/>
      <c r="CA155" s="33"/>
      <c r="CM155" s="14"/>
      <c r="CO155" s="33"/>
      <c r="DB155" s="14"/>
      <c r="DD155" s="33"/>
      <c r="DP155" s="14"/>
    </row>
    <row r="156" spans="65:120" x14ac:dyDescent="0.35">
      <c r="BM156" s="33"/>
      <c r="BX156" s="14"/>
      <c r="CA156" s="33"/>
      <c r="CM156" s="14"/>
      <c r="CO156" s="33"/>
      <c r="DB156" s="14"/>
      <c r="DD156" s="33"/>
      <c r="DP156" s="14"/>
    </row>
    <row r="157" spans="65:120" x14ac:dyDescent="0.35">
      <c r="BM157" s="33"/>
      <c r="BX157" s="14"/>
      <c r="CA157" s="33"/>
      <c r="CM157" s="14"/>
      <c r="CO157" s="33"/>
      <c r="DB157" s="14"/>
      <c r="DD157" s="33"/>
      <c r="DP157" s="14"/>
    </row>
    <row r="158" spans="65:120" x14ac:dyDescent="0.35">
      <c r="BM158" s="33"/>
      <c r="BX158" s="14"/>
      <c r="CA158" s="33"/>
      <c r="CM158" s="14"/>
      <c r="CO158" s="33"/>
      <c r="DB158" s="14"/>
      <c r="DD158" s="33"/>
      <c r="DP158" s="14"/>
    </row>
    <row r="159" spans="65:120" x14ac:dyDescent="0.35">
      <c r="BM159" s="33"/>
      <c r="BX159" s="14"/>
      <c r="CA159" s="33"/>
      <c r="CM159" s="14"/>
      <c r="CO159" s="33"/>
      <c r="DB159" s="14"/>
      <c r="DD159" s="33"/>
      <c r="DP159" s="14"/>
    </row>
    <row r="160" spans="65:120" x14ac:dyDescent="0.35">
      <c r="BM160" s="33"/>
      <c r="BX160" s="14"/>
      <c r="CA160" s="33"/>
      <c r="CM160" s="14"/>
      <c r="CO160" s="33"/>
      <c r="DB160" s="14"/>
      <c r="DD160" s="33"/>
      <c r="DP160" s="14"/>
    </row>
    <row r="161" spans="65:120" x14ac:dyDescent="0.35">
      <c r="BM161" s="33"/>
      <c r="BX161" s="14"/>
      <c r="CA161" s="33"/>
      <c r="CM161" s="14"/>
      <c r="CO161" s="33"/>
      <c r="DB161" s="14"/>
      <c r="DD161" s="33"/>
      <c r="DP161" s="14"/>
    </row>
    <row r="162" spans="65:120" ht="15" thickBot="1" x14ac:dyDescent="0.4">
      <c r="BM162" s="35"/>
      <c r="BN162" s="15"/>
      <c r="BO162" s="15"/>
      <c r="BP162" s="15"/>
      <c r="BQ162" s="15"/>
      <c r="BR162" s="15"/>
      <c r="BS162" s="15"/>
      <c r="BT162" s="15"/>
      <c r="BU162" s="15"/>
      <c r="BV162" s="15"/>
      <c r="BW162" s="15"/>
      <c r="BX162" s="16"/>
      <c r="CA162" s="33"/>
      <c r="CM162" s="14"/>
      <c r="CO162" s="35"/>
      <c r="CP162" s="15"/>
      <c r="CQ162" s="15"/>
      <c r="CR162" s="15"/>
      <c r="CS162" s="15"/>
      <c r="CT162" s="15"/>
      <c r="CU162" s="15"/>
      <c r="CV162" s="15"/>
      <c r="CW162" s="15"/>
      <c r="CX162" s="15"/>
      <c r="CY162" s="15"/>
      <c r="CZ162" s="15"/>
      <c r="DA162" s="15"/>
      <c r="DB162" s="16"/>
      <c r="DD162" s="35"/>
      <c r="DE162" s="15"/>
      <c r="DF162" s="15"/>
      <c r="DG162" s="15"/>
      <c r="DH162" s="15"/>
      <c r="DI162" s="15"/>
      <c r="DJ162" s="15"/>
      <c r="DK162" s="15"/>
      <c r="DL162" s="15"/>
      <c r="DM162" s="15"/>
      <c r="DN162" s="15"/>
      <c r="DO162" s="15"/>
      <c r="DP162" s="16"/>
    </row>
    <row r="163" spans="65:120" x14ac:dyDescent="0.35">
      <c r="CA163" s="33"/>
      <c r="CM163" s="14"/>
    </row>
    <row r="164" spans="65:120" ht="15" thickBot="1" x14ac:dyDescent="0.4">
      <c r="CA164" s="33"/>
      <c r="CM164" s="14"/>
    </row>
    <row r="165" spans="65:120" x14ac:dyDescent="0.35">
      <c r="BN165" s="38" t="s">
        <v>215</v>
      </c>
      <c r="BO165" s="32"/>
      <c r="BP165" s="32"/>
      <c r="BQ165" s="32"/>
      <c r="BR165" s="32"/>
      <c r="BS165" s="32"/>
      <c r="BT165" s="32"/>
      <c r="BU165" s="32"/>
      <c r="BV165" s="32"/>
      <c r="BW165" s="32"/>
      <c r="BX165" s="32"/>
      <c r="BY165" s="3"/>
      <c r="CA165" s="33"/>
      <c r="CM165" s="14"/>
    </row>
    <row r="166" spans="65:120" x14ac:dyDescent="0.35">
      <c r="BN166" s="33"/>
      <c r="BY166" s="14"/>
      <c r="CA166" s="33"/>
      <c r="CM166" s="14"/>
    </row>
    <row r="167" spans="65:120" x14ac:dyDescent="0.35">
      <c r="BN167" s="33"/>
      <c r="BY167" s="14"/>
      <c r="CA167" s="33"/>
      <c r="CM167" s="14"/>
    </row>
    <row r="168" spans="65:120" x14ac:dyDescent="0.35">
      <c r="BN168" s="33"/>
      <c r="BY168" s="14"/>
      <c r="CA168" s="33"/>
      <c r="CM168" s="14"/>
    </row>
    <row r="169" spans="65:120" ht="15" thickBot="1" x14ac:dyDescent="0.4">
      <c r="BN169" s="33"/>
      <c r="BO169" t="s">
        <v>181</v>
      </c>
      <c r="BP169">
        <f>BD38/31</f>
        <v>1182068.8709677418</v>
      </c>
      <c r="BY169" s="14"/>
      <c r="CA169" s="35"/>
      <c r="CB169" s="15"/>
      <c r="CC169" s="15"/>
      <c r="CD169" s="15"/>
      <c r="CE169" s="15"/>
      <c r="CF169" s="15"/>
      <c r="CG169" s="15"/>
      <c r="CH169" s="15"/>
      <c r="CI169" s="15"/>
      <c r="CK169" s="15"/>
      <c r="CL169" s="15"/>
      <c r="CM169" s="16"/>
    </row>
    <row r="170" spans="65:120" x14ac:dyDescent="0.35">
      <c r="BN170" s="33"/>
      <c r="BO170" t="s">
        <v>201</v>
      </c>
      <c r="BP170">
        <f>(BD11+BD14+BD16+BD6)/31</f>
        <v>44846.806451612902</v>
      </c>
      <c r="BY170" s="14"/>
    </row>
    <row r="171" spans="65:120" ht="15" thickBot="1" x14ac:dyDescent="0.4">
      <c r="BN171" s="33"/>
      <c r="BO171" t="s">
        <v>93</v>
      </c>
      <c r="BP171">
        <f>(BD12+BD15+BD17)/31</f>
        <v>1737.9677419354839</v>
      </c>
      <c r="BY171" s="14"/>
    </row>
    <row r="172" spans="65:120" ht="15" thickBot="1" x14ac:dyDescent="0.4">
      <c r="BN172" s="33"/>
      <c r="BO172" t="s">
        <v>170</v>
      </c>
      <c r="BP172">
        <f>BD9/31</f>
        <v>425065.6451612903</v>
      </c>
      <c r="BY172" s="14"/>
      <c r="CO172" s="38" t="s">
        <v>187</v>
      </c>
      <c r="CP172" s="32"/>
      <c r="CQ172" s="32"/>
      <c r="CR172" s="32"/>
      <c r="CS172" s="32"/>
      <c r="CT172" s="32"/>
      <c r="CU172" s="32"/>
      <c r="CV172" s="32"/>
      <c r="CW172" s="32"/>
      <c r="CX172" s="32"/>
      <c r="CY172" s="32"/>
      <c r="CZ172" s="3"/>
      <c r="DD172" s="38" t="s">
        <v>191</v>
      </c>
      <c r="DE172" s="32"/>
      <c r="DF172" s="32"/>
      <c r="DG172" s="32"/>
      <c r="DH172" s="32"/>
      <c r="DI172" s="32"/>
      <c r="DJ172" s="32"/>
      <c r="DK172" s="32"/>
      <c r="DL172" s="32"/>
      <c r="DM172" s="32"/>
      <c r="DN172" s="32"/>
      <c r="DO172" s="3"/>
    </row>
    <row r="173" spans="65:120" x14ac:dyDescent="0.35">
      <c r="BN173" s="33"/>
      <c r="BO173" t="s">
        <v>172</v>
      </c>
      <c r="BP173">
        <f>BD10/31</f>
        <v>74198.580645161288</v>
      </c>
      <c r="BY173" s="14"/>
      <c r="CA173" s="38" t="s">
        <v>183</v>
      </c>
      <c r="CB173" s="32"/>
      <c r="CC173" s="32"/>
      <c r="CD173" s="32"/>
      <c r="CE173" s="32"/>
      <c r="CF173" s="32"/>
      <c r="CG173" s="32"/>
      <c r="CH173" s="32"/>
      <c r="CI173" s="32"/>
      <c r="CJ173" s="32"/>
      <c r="CK173" s="32"/>
      <c r="CL173" s="3"/>
      <c r="CO173" s="33"/>
      <c r="CZ173" s="14"/>
      <c r="DD173" s="33"/>
      <c r="DO173" s="14"/>
    </row>
    <row r="174" spans="65:120" x14ac:dyDescent="0.35">
      <c r="BN174" s="33"/>
      <c r="BY174" s="14"/>
      <c r="CA174" s="33"/>
      <c r="CL174" s="14"/>
      <c r="CO174" s="33"/>
      <c r="CZ174" s="14"/>
      <c r="DD174" s="33"/>
      <c r="DO174" s="14"/>
    </row>
    <row r="175" spans="65:120" x14ac:dyDescent="0.35">
      <c r="BN175" s="33"/>
      <c r="BY175" s="14"/>
      <c r="CA175" s="33"/>
      <c r="CL175" s="14"/>
      <c r="CO175" s="33"/>
      <c r="CZ175" s="14"/>
      <c r="DD175" s="33"/>
      <c r="DO175" s="14"/>
    </row>
    <row r="176" spans="65:120" x14ac:dyDescent="0.35">
      <c r="BN176" s="33"/>
      <c r="BY176" s="14"/>
      <c r="CA176" s="33"/>
      <c r="CL176" s="14"/>
      <c r="CO176" s="33"/>
      <c r="CZ176" s="14"/>
      <c r="DD176" s="33"/>
      <c r="DO176" s="14"/>
    </row>
    <row r="177" spans="66:119" x14ac:dyDescent="0.35">
      <c r="BN177" s="33"/>
      <c r="BY177" s="14"/>
      <c r="CA177" s="33"/>
      <c r="CB177" t="s">
        <v>181</v>
      </c>
      <c r="CC177">
        <f>BE38/31</f>
        <v>1233085.8709677418</v>
      </c>
      <c r="CL177" s="14"/>
      <c r="CO177" s="33"/>
      <c r="CP177" t="s">
        <v>181</v>
      </c>
      <c r="CQ177">
        <f>BF38/30</f>
        <v>1295434.3999999999</v>
      </c>
      <c r="CZ177" s="14"/>
      <c r="DD177" s="33"/>
      <c r="DO177" s="14"/>
    </row>
    <row r="178" spans="66:119" x14ac:dyDescent="0.35">
      <c r="BN178" s="33"/>
      <c r="BY178" s="14"/>
      <c r="CA178" s="33"/>
      <c r="CB178" t="s">
        <v>201</v>
      </c>
      <c r="CC178">
        <f>(BE11+BE14+BE16+BE6)/31</f>
        <v>23997.967741935485</v>
      </c>
      <c r="CL178" s="14"/>
      <c r="CO178" s="33"/>
      <c r="CP178" t="s">
        <v>201</v>
      </c>
      <c r="CQ178">
        <f>(BF11+BF14+BF16+BF6)/30</f>
        <v>37717.133333333331</v>
      </c>
      <c r="CZ178" s="14"/>
      <c r="DD178" s="33"/>
      <c r="DE178" t="s">
        <v>181</v>
      </c>
      <c r="DF178">
        <f>BG38/31</f>
        <v>1200800.5483870967</v>
      </c>
      <c r="DO178" s="14"/>
    </row>
    <row r="179" spans="66:119" x14ac:dyDescent="0.35">
      <c r="BN179" s="33"/>
      <c r="BY179" s="14"/>
      <c r="CA179" s="33"/>
      <c r="CB179" t="s">
        <v>93</v>
      </c>
      <c r="CC179">
        <f>(BE12+BE15+BE17)/31</f>
        <v>1527.8709677419354</v>
      </c>
      <c r="CL179" s="14"/>
      <c r="CO179" s="33"/>
      <c r="CP179" t="s">
        <v>93</v>
      </c>
      <c r="CQ179">
        <f>(BF12+BF15+BF17)/30</f>
        <v>1311.7666666666667</v>
      </c>
      <c r="CZ179" s="14"/>
      <c r="DD179" s="33"/>
      <c r="DE179" t="s">
        <v>201</v>
      </c>
      <c r="DF179">
        <f>(BG11+BG14+BG16+BG6)/31</f>
        <v>60484.096774193546</v>
      </c>
      <c r="DO179" s="14"/>
    </row>
    <row r="180" spans="66:119" x14ac:dyDescent="0.35">
      <c r="BN180" s="33"/>
      <c r="BY180" s="14"/>
      <c r="CA180" s="33"/>
      <c r="CB180" t="s">
        <v>170</v>
      </c>
      <c r="CC180">
        <f>BE9/31</f>
        <v>473397.58064516127</v>
      </c>
      <c r="CL180" s="14"/>
      <c r="CO180" s="33"/>
      <c r="CP180" t="s">
        <v>170</v>
      </c>
      <c r="CQ180">
        <f>BF9/30</f>
        <v>430089.13333333336</v>
      </c>
      <c r="CZ180" s="14"/>
      <c r="DD180" s="33"/>
      <c r="DE180" t="s">
        <v>93</v>
      </c>
      <c r="DF180">
        <f>(BG12+BG15+BG17)/31</f>
        <v>1116.3548387096773</v>
      </c>
      <c r="DO180" s="14"/>
    </row>
    <row r="181" spans="66:119" x14ac:dyDescent="0.35">
      <c r="BN181" s="33"/>
      <c r="BY181" s="14"/>
      <c r="CA181" s="33"/>
      <c r="CB181" t="s">
        <v>172</v>
      </c>
      <c r="CC181">
        <f>BE10/31</f>
        <v>71211.387096774197</v>
      </c>
      <c r="CL181" s="14"/>
      <c r="CO181" s="33"/>
      <c r="CP181" t="s">
        <v>172</v>
      </c>
      <c r="CQ181">
        <f>BF10/30</f>
        <v>66366.333333333328</v>
      </c>
      <c r="CZ181" s="14"/>
      <c r="DD181" s="33"/>
      <c r="DE181" t="s">
        <v>170</v>
      </c>
      <c r="DF181">
        <f>BG9/31</f>
        <v>435116.09677419357</v>
      </c>
      <c r="DO181" s="14"/>
    </row>
    <row r="182" spans="66:119" x14ac:dyDescent="0.35">
      <c r="BN182" s="33"/>
      <c r="BY182" s="14"/>
      <c r="CA182" s="33"/>
      <c r="CL182" s="14"/>
      <c r="CO182" s="33"/>
      <c r="CZ182" s="14"/>
      <c r="DD182" s="33"/>
      <c r="DE182" t="s">
        <v>172</v>
      </c>
      <c r="DF182">
        <f>BG10/31</f>
        <v>60118</v>
      </c>
      <c r="DO182" s="14"/>
    </row>
    <row r="183" spans="66:119" x14ac:dyDescent="0.35">
      <c r="BN183" s="33"/>
      <c r="BO183" t="s">
        <v>154</v>
      </c>
      <c r="BP183" t="s">
        <v>155</v>
      </c>
      <c r="BQ183" t="s">
        <v>156</v>
      </c>
      <c r="BR183" t="s">
        <v>157</v>
      </c>
      <c r="BS183" t="s">
        <v>158</v>
      </c>
      <c r="BT183" t="s">
        <v>159</v>
      </c>
      <c r="BU183" t="s">
        <v>160</v>
      </c>
      <c r="BV183" t="s">
        <v>161</v>
      </c>
      <c r="BW183" t="s">
        <v>162</v>
      </c>
      <c r="BX183" t="s">
        <v>163</v>
      </c>
      <c r="BY183" s="14"/>
      <c r="CA183" s="33"/>
      <c r="CL183" s="14"/>
      <c r="CO183" s="33"/>
      <c r="CZ183" s="14"/>
      <c r="DD183" s="33"/>
      <c r="DO183" s="14"/>
    </row>
    <row r="184" spans="66:119" x14ac:dyDescent="0.35">
      <c r="BN184" s="33" t="s">
        <v>181</v>
      </c>
      <c r="BO184">
        <v>8.5790884718498661E-2</v>
      </c>
      <c r="BP184">
        <v>7.5067024128686322E-2</v>
      </c>
      <c r="BQ184">
        <v>7.1492403932082213E-2</v>
      </c>
      <c r="BR184">
        <v>7.1492403932082213E-2</v>
      </c>
      <c r="BS184">
        <v>0.10366398570151922</v>
      </c>
      <c r="BT184">
        <v>0.12511170688114387</v>
      </c>
      <c r="BU184">
        <v>0.12511170688114387</v>
      </c>
      <c r="BV184">
        <v>0.12511170688114387</v>
      </c>
      <c r="BW184">
        <v>0.10723860589812333</v>
      </c>
      <c r="BX184">
        <v>0.10991957104557641</v>
      </c>
      <c r="BY184" s="14"/>
      <c r="CA184" s="33"/>
      <c r="CL184" s="14"/>
      <c r="CO184" s="33"/>
      <c r="CZ184" s="14"/>
      <c r="DD184" s="33"/>
      <c r="DO184" s="14"/>
    </row>
    <row r="185" spans="66:119" x14ac:dyDescent="0.35">
      <c r="BN185" s="33" t="s">
        <v>181</v>
      </c>
      <c r="BO185">
        <f>$BP$169*BO184</f>
        <v>101410.73423851941</v>
      </c>
      <c r="BP185">
        <f t="shared" ref="BP185:BX185" si="69">$BP$169*BP184</f>
        <v>88734.392458704475</v>
      </c>
      <c r="BQ185">
        <f t="shared" si="69"/>
        <v>84508.945198766174</v>
      </c>
      <c r="BR185">
        <f t="shared" si="69"/>
        <v>84508.945198766174</v>
      </c>
      <c r="BS185">
        <f t="shared" si="69"/>
        <v>122537.97053821095</v>
      </c>
      <c r="BT185">
        <f t="shared" si="69"/>
        <v>147890.6540978408</v>
      </c>
      <c r="BU185">
        <f t="shared" si="69"/>
        <v>147890.6540978408</v>
      </c>
      <c r="BV185">
        <f t="shared" si="69"/>
        <v>147890.6540978408</v>
      </c>
      <c r="BW185">
        <f t="shared" si="69"/>
        <v>126763.41779814925</v>
      </c>
      <c r="BX185">
        <f t="shared" si="69"/>
        <v>129932.503243103</v>
      </c>
      <c r="BY185" s="14"/>
      <c r="CA185" s="33"/>
      <c r="CL185" s="14"/>
      <c r="CO185" s="33"/>
      <c r="CZ185" s="14"/>
      <c r="DD185" s="33"/>
      <c r="DO185" s="14"/>
    </row>
    <row r="186" spans="66:119" x14ac:dyDescent="0.35">
      <c r="BN186" s="33" t="s">
        <v>184</v>
      </c>
      <c r="BO186">
        <v>6.6394582430371177E-2</v>
      </c>
      <c r="BP186">
        <v>6.6965867345204516E-2</v>
      </c>
      <c r="BQ186">
        <v>0.10017499645547201</v>
      </c>
      <c r="BR186">
        <v>6.6472763643766961E-2</v>
      </c>
      <c r="BS186">
        <v>0.13342500463096338</v>
      </c>
      <c r="BT186">
        <v>0.10545350553525126</v>
      </c>
      <c r="BU186">
        <v>0.11223517179195519</v>
      </c>
      <c r="BV186">
        <v>0.10844278705049484</v>
      </c>
      <c r="BW186">
        <v>8.6649987991733596E-2</v>
      </c>
      <c r="BX186">
        <v>0.10410534807231428</v>
      </c>
      <c r="BY186" s="14"/>
      <c r="CA186" s="33"/>
      <c r="CL186" s="14"/>
      <c r="CO186" s="33"/>
      <c r="CZ186" s="14"/>
      <c r="DD186" s="33"/>
      <c r="DO186" s="14"/>
    </row>
    <row r="187" spans="66:119" x14ac:dyDescent="0.35">
      <c r="BN187" s="33" t="s">
        <v>185</v>
      </c>
      <c r="BO187">
        <f>$BP$170*BO186</f>
        <v>2977.5849876905145</v>
      </c>
      <c r="BP187">
        <f t="shared" ref="BP187:BX187" si="70">$BP$170*BP186</f>
        <v>3003.2052916947714</v>
      </c>
      <c r="BQ187">
        <f t="shared" si="70"/>
        <v>4492.528677329562</v>
      </c>
      <c r="BR187">
        <f t="shared" si="70"/>
        <v>2981.0911654358279</v>
      </c>
      <c r="BS187">
        <f t="shared" si="70"/>
        <v>5983.6853584903702</v>
      </c>
      <c r="BT187">
        <f t="shared" si="70"/>
        <v>4729.2529523835028</v>
      </c>
      <c r="BU187">
        <f t="shared" si="70"/>
        <v>5033.3890264173388</v>
      </c>
      <c r="BV187">
        <f t="shared" si="70"/>
        <v>4863.3126819270165</v>
      </c>
      <c r="BW187">
        <f t="shared" si="70"/>
        <v>3885.9752404998585</v>
      </c>
      <c r="BX187">
        <f t="shared" si="70"/>
        <v>4668.7923955768711</v>
      </c>
      <c r="BY187" s="14"/>
      <c r="CA187" s="33"/>
      <c r="CL187" s="14"/>
      <c r="CO187" s="33"/>
      <c r="CZ187" s="14"/>
      <c r="DD187" s="33"/>
      <c r="DO187" s="14"/>
    </row>
    <row r="188" spans="66:119" x14ac:dyDescent="0.35">
      <c r="BN188" s="33" t="s">
        <v>93</v>
      </c>
      <c r="BO188">
        <v>2.2063292811484158E-5</v>
      </c>
      <c r="BP188">
        <v>2.747048435959622E-5</v>
      </c>
      <c r="BQ188">
        <v>4.5230447451048841E-4</v>
      </c>
      <c r="BR188">
        <v>2.7528531987804594E-2</v>
      </c>
      <c r="BS188">
        <v>0.22980036032658482</v>
      </c>
      <c r="BT188">
        <v>0.24990914052004859</v>
      </c>
      <c r="BU188">
        <v>0.25107294147832776</v>
      </c>
      <c r="BV188">
        <v>0.16820574633572821</v>
      </c>
      <c r="BW188">
        <v>2.7213134953253674E-2</v>
      </c>
      <c r="BX188">
        <v>1.4398418920813757E-4</v>
      </c>
      <c r="BY188" s="14"/>
      <c r="CA188" s="33"/>
      <c r="CB188" t="s">
        <v>154</v>
      </c>
      <c r="CC188" t="s">
        <v>155</v>
      </c>
      <c r="CD188" t="s">
        <v>156</v>
      </c>
      <c r="CE188" t="s">
        <v>157</v>
      </c>
      <c r="CF188" t="s">
        <v>158</v>
      </c>
      <c r="CG188" t="s">
        <v>159</v>
      </c>
      <c r="CH188" t="s">
        <v>160</v>
      </c>
      <c r="CI188" t="s">
        <v>161</v>
      </c>
      <c r="CJ188" t="s">
        <v>162</v>
      </c>
      <c r="CK188" t="s">
        <v>163</v>
      </c>
      <c r="CL188" s="14"/>
      <c r="CO188" s="33"/>
      <c r="CP188" t="s">
        <v>154</v>
      </c>
      <c r="CQ188" t="s">
        <v>155</v>
      </c>
      <c r="CR188" t="s">
        <v>156</v>
      </c>
      <c r="CS188" t="s">
        <v>157</v>
      </c>
      <c r="CT188" t="s">
        <v>158</v>
      </c>
      <c r="CU188" t="s">
        <v>159</v>
      </c>
      <c r="CV188" t="s">
        <v>160</v>
      </c>
      <c r="CW188" t="s">
        <v>161</v>
      </c>
      <c r="CX188" t="s">
        <v>162</v>
      </c>
      <c r="CY188" t="s">
        <v>163</v>
      </c>
      <c r="CZ188" s="14"/>
      <c r="DD188" s="33"/>
      <c r="DE188" t="s">
        <v>154</v>
      </c>
      <c r="DF188" t="s">
        <v>155</v>
      </c>
      <c r="DG188" t="s">
        <v>156</v>
      </c>
      <c r="DH188" t="s">
        <v>157</v>
      </c>
      <c r="DI188" t="s">
        <v>158</v>
      </c>
      <c r="DJ188" t="s">
        <v>159</v>
      </c>
      <c r="DK188" t="s">
        <v>160</v>
      </c>
      <c r="DL188" t="s">
        <v>161</v>
      </c>
      <c r="DM188" t="s">
        <v>162</v>
      </c>
      <c r="DN188" t="s">
        <v>163</v>
      </c>
      <c r="DO188" s="14"/>
    </row>
    <row r="189" spans="66:119" x14ac:dyDescent="0.35">
      <c r="BN189" s="33" t="s">
        <v>189</v>
      </c>
      <c r="BO189">
        <f>$BP$171*BO188</f>
        <v>3.8345291187236515E-2</v>
      </c>
      <c r="BP189">
        <f t="shared" ref="BP189:BX189" si="71">$BP$171*BP188</f>
        <v>4.774281567232147E-2</v>
      </c>
      <c r="BQ189">
        <f t="shared" si="71"/>
        <v>0.78609058623230921</v>
      </c>
      <c r="BR189">
        <f t="shared" si="71"/>
        <v>47.843700577643489</v>
      </c>
      <c r="BS189">
        <f t="shared" si="71"/>
        <v>399.38561333275521</v>
      </c>
      <c r="BT189">
        <f t="shared" si="71"/>
        <v>434.33402463866639</v>
      </c>
      <c r="BU189">
        <f t="shared" si="71"/>
        <v>436.35667316218917</v>
      </c>
      <c r="BV189">
        <f t="shared" si="71"/>
        <v>292.33616113967838</v>
      </c>
      <c r="BW189">
        <f t="shared" si="71"/>
        <v>47.29555070569188</v>
      </c>
      <c r="BX189">
        <f t="shared" si="71"/>
        <v>0.25023987619247834</v>
      </c>
      <c r="BY189" s="14"/>
      <c r="CA189" s="33" t="s">
        <v>181</v>
      </c>
      <c r="CB189">
        <v>8.4805653710247356E-2</v>
      </c>
      <c r="CC189">
        <v>7.4204946996466431E-2</v>
      </c>
      <c r="CD189">
        <v>7.0671378091872794E-2</v>
      </c>
      <c r="CE189">
        <v>7.4204946996466431E-2</v>
      </c>
      <c r="CF189">
        <v>0.10247349823321555</v>
      </c>
      <c r="CG189">
        <v>0.12367491166077739</v>
      </c>
      <c r="CH189">
        <v>0.12367491166077739</v>
      </c>
      <c r="CI189">
        <v>0.12367491166077739</v>
      </c>
      <c r="CJ189">
        <v>0.10954063604240283</v>
      </c>
      <c r="CK189">
        <v>0.11307420494699646</v>
      </c>
      <c r="CL189" s="14"/>
      <c r="CO189" s="33" t="s">
        <v>181</v>
      </c>
      <c r="CP189">
        <v>8.4432717678100261E-2</v>
      </c>
      <c r="CQ189">
        <v>7.3878627968337732E-2</v>
      </c>
      <c r="CR189">
        <v>7.3878627968337732E-2</v>
      </c>
      <c r="CS189">
        <v>7.3878627968337732E-2</v>
      </c>
      <c r="CT189">
        <v>0.10202286719437115</v>
      </c>
      <c r="CU189">
        <v>0.12313104661389622</v>
      </c>
      <c r="CV189">
        <v>0.12313104661389622</v>
      </c>
      <c r="CW189">
        <v>0.11961301671064203</v>
      </c>
      <c r="CX189">
        <v>0.12313104661389622</v>
      </c>
      <c r="CY189">
        <v>0.10290237467018469</v>
      </c>
      <c r="CZ189" s="14"/>
      <c r="DD189" s="33" t="s">
        <v>181</v>
      </c>
      <c r="DE189">
        <v>8.4432717678100261E-2</v>
      </c>
      <c r="DF189">
        <v>7.3878627968337732E-2</v>
      </c>
      <c r="DG189">
        <v>7.3878627968337732E-2</v>
      </c>
      <c r="DH189">
        <v>7.3878627968337732E-2</v>
      </c>
      <c r="DI189">
        <v>0.10202286719437115</v>
      </c>
      <c r="DJ189">
        <v>0.12313104661389622</v>
      </c>
      <c r="DK189">
        <v>0.12313104661389622</v>
      </c>
      <c r="DL189">
        <v>0.11961301671064203</v>
      </c>
      <c r="DM189">
        <v>0.12313104661389622</v>
      </c>
      <c r="DN189">
        <v>0.10290237467018469</v>
      </c>
      <c r="DO189" s="14"/>
    </row>
    <row r="190" spans="66:119" x14ac:dyDescent="0.35">
      <c r="BN190" s="33" t="s">
        <v>172</v>
      </c>
      <c r="BO190">
        <f>$BP$173/10</f>
        <v>7419.8580645161292</v>
      </c>
      <c r="BP190">
        <f t="shared" ref="BP190:BX190" si="72">$BP$173/10</f>
        <v>7419.8580645161292</v>
      </c>
      <c r="BQ190">
        <f t="shared" si="72"/>
        <v>7419.8580645161292</v>
      </c>
      <c r="BR190">
        <f t="shared" si="72"/>
        <v>7419.8580645161292</v>
      </c>
      <c r="BS190">
        <f t="shared" si="72"/>
        <v>7419.8580645161292</v>
      </c>
      <c r="BT190">
        <f t="shared" si="72"/>
        <v>7419.8580645161292</v>
      </c>
      <c r="BU190">
        <f t="shared" si="72"/>
        <v>7419.8580645161292</v>
      </c>
      <c r="BV190">
        <f t="shared" si="72"/>
        <v>7419.8580645161292</v>
      </c>
      <c r="BW190">
        <f t="shared" si="72"/>
        <v>7419.8580645161292</v>
      </c>
      <c r="BX190">
        <f t="shared" si="72"/>
        <v>7419.8580645161292</v>
      </c>
      <c r="BY190" s="14"/>
      <c r="CA190" s="33" t="s">
        <v>181</v>
      </c>
      <c r="CB190">
        <f>$CC$177*CB189</f>
        <v>104572.65336828907</v>
      </c>
      <c r="CC190">
        <f t="shared" ref="CC190:CK190" si="73">$CC$177*CC189</f>
        <v>91501.071697252934</v>
      </c>
      <c r="CD190">
        <f t="shared" si="73"/>
        <v>87143.877806907549</v>
      </c>
      <c r="CE190">
        <f t="shared" si="73"/>
        <v>91501.071697252934</v>
      </c>
      <c r="CF190">
        <f t="shared" si="73"/>
        <v>126358.62282001595</v>
      </c>
      <c r="CG190">
        <f t="shared" si="73"/>
        <v>152501.78616208822</v>
      </c>
      <c r="CH190">
        <f t="shared" si="73"/>
        <v>152501.78616208822</v>
      </c>
      <c r="CI190">
        <f t="shared" si="73"/>
        <v>152501.78616208822</v>
      </c>
      <c r="CJ190">
        <f t="shared" si="73"/>
        <v>135073.01060070671</v>
      </c>
      <c r="CK190">
        <f t="shared" si="73"/>
        <v>139430.20449105208</v>
      </c>
      <c r="CL190" s="14"/>
      <c r="CO190" s="33" t="s">
        <v>181</v>
      </c>
      <c r="CP190">
        <f t="shared" ref="CP190:CY190" si="74">$CQ$177*CP189</f>
        <v>109377.04696569919</v>
      </c>
      <c r="CQ190">
        <f t="shared" si="74"/>
        <v>95704.916094986795</v>
      </c>
      <c r="CR190">
        <f t="shared" si="74"/>
        <v>95704.916094986795</v>
      </c>
      <c r="CS190">
        <f t="shared" si="74"/>
        <v>95704.916094986795</v>
      </c>
      <c r="CT190">
        <f t="shared" si="74"/>
        <v>132163.93175021987</v>
      </c>
      <c r="CU190">
        <f t="shared" si="74"/>
        <v>159508.19349164466</v>
      </c>
      <c r="CV190">
        <f t="shared" si="74"/>
        <v>159508.19349164466</v>
      </c>
      <c r="CW190">
        <f t="shared" si="74"/>
        <v>154950.81653474053</v>
      </c>
      <c r="CX190">
        <f t="shared" si="74"/>
        <v>159508.19349164466</v>
      </c>
      <c r="CY190">
        <f t="shared" si="74"/>
        <v>133303.27598944589</v>
      </c>
      <c r="CZ190" s="14"/>
      <c r="DD190" s="33" t="s">
        <v>181</v>
      </c>
      <c r="DE190">
        <f>$DF$178*DE189</f>
        <v>101386.85368967571</v>
      </c>
      <c r="DF190">
        <f t="shared" ref="DF190:DN190" si="75">$DF$178*DF189</f>
        <v>88713.496978466253</v>
      </c>
      <c r="DG190">
        <f t="shared" si="75"/>
        <v>88713.496978466253</v>
      </c>
      <c r="DH190">
        <f t="shared" si="75"/>
        <v>88713.496978466253</v>
      </c>
      <c r="DI190">
        <f t="shared" si="75"/>
        <v>122509.11487502481</v>
      </c>
      <c r="DJ190">
        <f t="shared" si="75"/>
        <v>147855.82829744375</v>
      </c>
      <c r="DK190">
        <f t="shared" si="75"/>
        <v>147855.82829744375</v>
      </c>
      <c r="DL190">
        <f t="shared" si="75"/>
        <v>143631.37606037391</v>
      </c>
      <c r="DM190">
        <f t="shared" si="75"/>
        <v>147855.82829744375</v>
      </c>
      <c r="DN190">
        <f t="shared" si="75"/>
        <v>123565.22793429227</v>
      </c>
      <c r="DO190" s="14"/>
    </row>
    <row r="191" spans="66:119" x14ac:dyDescent="0.35">
      <c r="BN191" s="33" t="s">
        <v>170</v>
      </c>
      <c r="BO191">
        <f>$BP$172/10</f>
        <v>42506.56451612903</v>
      </c>
      <c r="BP191">
        <f t="shared" ref="BP191:BX191" si="76">$BP$172/10</f>
        <v>42506.56451612903</v>
      </c>
      <c r="BQ191">
        <f t="shared" si="76"/>
        <v>42506.56451612903</v>
      </c>
      <c r="BR191">
        <f t="shared" si="76"/>
        <v>42506.56451612903</v>
      </c>
      <c r="BS191">
        <f t="shared" si="76"/>
        <v>42506.56451612903</v>
      </c>
      <c r="BT191">
        <f t="shared" si="76"/>
        <v>42506.56451612903</v>
      </c>
      <c r="BU191">
        <f t="shared" si="76"/>
        <v>42506.56451612903</v>
      </c>
      <c r="BV191">
        <f t="shared" si="76"/>
        <v>42506.56451612903</v>
      </c>
      <c r="BW191">
        <f t="shared" si="76"/>
        <v>42506.56451612903</v>
      </c>
      <c r="BX191">
        <f t="shared" si="76"/>
        <v>42506.56451612903</v>
      </c>
      <c r="BY191" s="14"/>
      <c r="CA191" s="33" t="s">
        <v>184</v>
      </c>
      <c r="CB191">
        <v>6.4089044389252406E-2</v>
      </c>
      <c r="CC191">
        <v>6.4414493736173736E-2</v>
      </c>
      <c r="CD191">
        <v>9.0656680179136681E-2</v>
      </c>
      <c r="CE191">
        <v>0.10417325327739629</v>
      </c>
      <c r="CF191">
        <v>0.13795902012473149</v>
      </c>
      <c r="CG191">
        <v>0.11978054381657233</v>
      </c>
      <c r="CH191">
        <v>0.12554956405406609</v>
      </c>
      <c r="CI191">
        <v>0.16337058548203051</v>
      </c>
      <c r="CJ191">
        <v>7.5993328738739513E-2</v>
      </c>
      <c r="CK191">
        <v>9.309233763516013E-2</v>
      </c>
      <c r="CL191" s="14"/>
      <c r="CO191" s="33" t="s">
        <v>184</v>
      </c>
      <c r="CP191">
        <v>6.4445648924567667E-2</v>
      </c>
      <c r="CQ191">
        <v>6.4398194988423835E-2</v>
      </c>
      <c r="CR191">
        <v>9.8976496686133453E-2</v>
      </c>
      <c r="CS191">
        <v>7.1006706222292257E-2</v>
      </c>
      <c r="CT191">
        <v>0.14379243448103113</v>
      </c>
      <c r="CU191">
        <v>0.1134269210384523</v>
      </c>
      <c r="CV191">
        <v>0.11735638726977082</v>
      </c>
      <c r="CW191">
        <v>0.15436344949669795</v>
      </c>
      <c r="CX191">
        <v>7.4689892531851709E-2</v>
      </c>
      <c r="CY191">
        <v>9.7543868360778871E-2</v>
      </c>
      <c r="CZ191" s="14"/>
      <c r="DD191" s="33" t="s">
        <v>184</v>
      </c>
      <c r="DE191">
        <v>7.0566196967581082E-2</v>
      </c>
      <c r="DF191">
        <v>6.7141279879733673E-2</v>
      </c>
      <c r="DG191">
        <v>0.10694330929299464</v>
      </c>
      <c r="DH191">
        <v>7.4848367530312723E-2</v>
      </c>
      <c r="DI191">
        <v>0.13035817560962998</v>
      </c>
      <c r="DJ191">
        <v>0.10888416389687872</v>
      </c>
      <c r="DK191">
        <v>0.11865330291396965</v>
      </c>
      <c r="DL191">
        <v>0.14515527181679364</v>
      </c>
      <c r="DM191">
        <v>7.1091268986875109E-2</v>
      </c>
      <c r="DN191">
        <v>0.10635866310523101</v>
      </c>
      <c r="DO191" s="14"/>
    </row>
    <row r="192" spans="66:119" x14ac:dyDescent="0.35">
      <c r="BN192" s="33"/>
      <c r="BY192" s="14"/>
      <c r="CA192" s="33" t="s">
        <v>185</v>
      </c>
      <c r="CB192">
        <f>$CC$178*CB191</f>
        <v>1538.0068198647507</v>
      </c>
      <c r="CC192">
        <f t="shared" ref="CC192:CK192" si="77">$CC$178*CC191</f>
        <v>1545.8169427938026</v>
      </c>
      <c r="CD192">
        <f t="shared" si="77"/>
        <v>2175.5760865298839</v>
      </c>
      <c r="CE192">
        <f t="shared" si="77"/>
        <v>2499.9463717234312</v>
      </c>
      <c r="CF192">
        <f t="shared" si="77"/>
        <v>3310.7361146623348</v>
      </c>
      <c r="CG192">
        <f t="shared" si="77"/>
        <v>2874.4896266215924</v>
      </c>
      <c r="CH192">
        <f t="shared" si="77"/>
        <v>3012.9343881835407</v>
      </c>
      <c r="CI192">
        <f t="shared" si="77"/>
        <v>3920.5620403788816</v>
      </c>
      <c r="CJ192">
        <f t="shared" si="77"/>
        <v>1823.6854516745695</v>
      </c>
      <c r="CK192">
        <f t="shared" si="77"/>
        <v>2234.0269155899396</v>
      </c>
      <c r="CL192" s="14"/>
      <c r="CO192" s="33" t="s">
        <v>185</v>
      </c>
      <c r="CP192">
        <f t="shared" ref="CP192:CY192" si="78">$CQ$178*CP191</f>
        <v>2430.7051332411083</v>
      </c>
      <c r="CQ192">
        <f t="shared" si="78"/>
        <v>2428.9153068043802</v>
      </c>
      <c r="CR192">
        <f t="shared" si="78"/>
        <v>3733.1097223771199</v>
      </c>
      <c r="CS192">
        <f t="shared" si="78"/>
        <v>2678.1694061470266</v>
      </c>
      <c r="CT192">
        <f t="shared" si="78"/>
        <v>5423.4384236456481</v>
      </c>
      <c r="CU192">
        <f t="shared" si="78"/>
        <v>4278.1383043967771</v>
      </c>
      <c r="CV192">
        <f t="shared" si="78"/>
        <v>4426.3465061722482</v>
      </c>
      <c r="CW192">
        <f t="shared" si="78"/>
        <v>5822.1468064602223</v>
      </c>
      <c r="CX192">
        <f t="shared" si="78"/>
        <v>2817.0886352761881</v>
      </c>
      <c r="CY192">
        <f t="shared" si="78"/>
        <v>3679.0750888126113</v>
      </c>
      <c r="CZ192" s="14"/>
      <c r="DD192" s="33" t="s">
        <v>185</v>
      </c>
      <c r="DE192">
        <f>$DF$179*DE191</f>
        <v>4268.1326863739769</v>
      </c>
      <c r="DF192">
        <f t="shared" ref="DF192:DN192" si="79">$DF$179*DF191</f>
        <v>4060.9796697890256</v>
      </c>
      <c r="DG192">
        <f t="shared" si="79"/>
        <v>6468.3694686299996</v>
      </c>
      <c r="DH192">
        <f t="shared" si="79"/>
        <v>4527.1359050938408</v>
      </c>
      <c r="DI192">
        <f t="shared" si="79"/>
        <v>7884.5965088801759</v>
      </c>
      <c r="DJ192">
        <f t="shared" si="79"/>
        <v>6585.7603063159631</v>
      </c>
      <c r="DK192">
        <f t="shared" si="79"/>
        <v>7176.637856026241</v>
      </c>
      <c r="DL192">
        <f t="shared" si="79"/>
        <v>8779.5855078513159</v>
      </c>
      <c r="DM192">
        <f t="shared" si="79"/>
        <v>4299.8911932023784</v>
      </c>
      <c r="DN192">
        <f t="shared" si="79"/>
        <v>6433.0076720306406</v>
      </c>
      <c r="DO192" s="14"/>
    </row>
    <row r="193" spans="66:119" x14ac:dyDescent="0.35">
      <c r="BN193" s="33" t="s">
        <v>194</v>
      </c>
      <c r="BO193">
        <f>SUM(BO187,BO189:BO191)</f>
        <v>52904.045913626862</v>
      </c>
      <c r="BP193">
        <f t="shared" ref="BP193:BX193" si="80">SUM(BP187,BP189:BP191)</f>
        <v>52929.675615155604</v>
      </c>
      <c r="BQ193">
        <f t="shared" si="80"/>
        <v>54419.737348560957</v>
      </c>
      <c r="BR193">
        <f t="shared" si="80"/>
        <v>52955.357446658629</v>
      </c>
      <c r="BS193">
        <f t="shared" si="80"/>
        <v>56309.493552468281</v>
      </c>
      <c r="BT193">
        <f t="shared" si="80"/>
        <v>55090.009557667327</v>
      </c>
      <c r="BU193">
        <f t="shared" si="80"/>
        <v>55396.168280224687</v>
      </c>
      <c r="BV193">
        <f t="shared" si="80"/>
        <v>55082.071423711852</v>
      </c>
      <c r="BW193">
        <f t="shared" si="80"/>
        <v>53859.693371850706</v>
      </c>
      <c r="BX193">
        <f t="shared" si="80"/>
        <v>54595.465216098222</v>
      </c>
      <c r="BY193" s="14"/>
      <c r="CA193" s="33" t="s">
        <v>93</v>
      </c>
      <c r="CB193">
        <v>2.7175530708417265E-5</v>
      </c>
      <c r="CC193">
        <v>4.2136585741907774E-5</v>
      </c>
      <c r="CD193">
        <v>8.0786138847351729E-5</v>
      </c>
      <c r="CE193">
        <v>5.5943067633313331E-2</v>
      </c>
      <c r="CF193">
        <v>0.25013092889282174</v>
      </c>
      <c r="CG193">
        <v>0.25390946587131535</v>
      </c>
      <c r="CH193">
        <v>0.24371333315049049</v>
      </c>
      <c r="CI193">
        <v>0.21494249681295882</v>
      </c>
      <c r="CJ193">
        <v>1.8107349789584476E-2</v>
      </c>
      <c r="CK193">
        <v>2.9051794904667314E-5</v>
      </c>
      <c r="CL193" s="14"/>
      <c r="CO193" s="33" t="s">
        <v>93</v>
      </c>
      <c r="CP193">
        <v>3.5299514236429218E-5</v>
      </c>
      <c r="CQ193">
        <v>3.817292308297643E-5</v>
      </c>
      <c r="CR193">
        <v>9.9586389074766821E-5</v>
      </c>
      <c r="CS193">
        <v>1.3299293557121696E-2</v>
      </c>
      <c r="CT193">
        <v>0.25325811612063148</v>
      </c>
      <c r="CU193">
        <v>0.27171247294086587</v>
      </c>
      <c r="CV193">
        <v>0.26472074197142692</v>
      </c>
      <c r="CW193">
        <v>0.19091707878736297</v>
      </c>
      <c r="CX193">
        <v>5.8238273479563627E-3</v>
      </c>
      <c r="CY193">
        <v>9.5410448240268155E-5</v>
      </c>
      <c r="CZ193" s="14"/>
      <c r="DD193" s="33" t="s">
        <v>93</v>
      </c>
      <c r="DE193">
        <v>1.2570770050342826E-4</v>
      </c>
      <c r="DF193">
        <v>8.8322088721083756E-5</v>
      </c>
      <c r="DG193">
        <v>1.0118992721247216E-4</v>
      </c>
      <c r="DH193">
        <v>8.9551229073702721E-3</v>
      </c>
      <c r="DI193">
        <v>0.26264836237828326</v>
      </c>
      <c r="DJ193">
        <v>0.30733754999438762</v>
      </c>
      <c r="DK193">
        <v>0.27259484757359315</v>
      </c>
      <c r="DL193">
        <v>0.14724738489379158</v>
      </c>
      <c r="DM193">
        <v>6.800714258002273E-4</v>
      </c>
      <c r="DN193">
        <v>2.2144111033687376E-4</v>
      </c>
      <c r="DO193" s="14"/>
    </row>
    <row r="194" spans="66:119" x14ac:dyDescent="0.35">
      <c r="BN194" s="33"/>
      <c r="BY194" s="14"/>
      <c r="CA194" s="33" t="s">
        <v>189</v>
      </c>
      <c r="CB194">
        <f>$CC$179*CB193</f>
        <v>4.152070440237017E-2</v>
      </c>
      <c r="CC194">
        <f t="shared" ref="CC194:CK194" si="81">$CC$179*CC193</f>
        <v>6.4379266034829671E-2</v>
      </c>
      <c r="CD194">
        <f t="shared" si="81"/>
        <v>0.12343079614083764</v>
      </c>
      <c r="CE194">
        <f t="shared" si="81"/>
        <v>85.473788883362985</v>
      </c>
      <c r="CF194">
        <f t="shared" si="81"/>
        <v>382.16778438966475</v>
      </c>
      <c r="CG194">
        <f t="shared" si="81"/>
        <v>387.94090133964448</v>
      </c>
      <c r="CH194">
        <f t="shared" si="81"/>
        <v>372.36252617225261</v>
      </c>
      <c r="CI194">
        <f t="shared" si="81"/>
        <v>328.40440061448328</v>
      </c>
      <c r="CJ194">
        <f t="shared" si="81"/>
        <v>27.665694046254163</v>
      </c>
      <c r="CK194">
        <f t="shared" si="81"/>
        <v>4.4387393995634274E-2</v>
      </c>
      <c r="CL194" s="14"/>
      <c r="CO194" s="33" t="s">
        <v>189</v>
      </c>
      <c r="CP194">
        <f t="shared" ref="CP194:CY194" si="82">$CQ$179*CP193</f>
        <v>4.6304726124873297E-2</v>
      </c>
      <c r="CQ194">
        <f t="shared" si="82"/>
        <v>5.0073968069479044E-2</v>
      </c>
      <c r="CR194">
        <f t="shared" si="82"/>
        <v>0.13063410564197661</v>
      </c>
      <c r="CS194">
        <f t="shared" si="82"/>
        <v>17.445569978447004</v>
      </c>
      <c r="CT194">
        <f t="shared" si="82"/>
        <v>332.21555478984033</v>
      </c>
      <c r="CU194">
        <f t="shared" si="82"/>
        <v>356.42336492139646</v>
      </c>
      <c r="CV194">
        <f t="shared" si="82"/>
        <v>347.25184529338543</v>
      </c>
      <c r="CW194">
        <f t="shared" si="82"/>
        <v>250.43866005063649</v>
      </c>
      <c r="CX194">
        <f t="shared" si="82"/>
        <v>7.6395025874708908</v>
      </c>
      <c r="CY194">
        <f t="shared" si="82"/>
        <v>0.1251562456533091</v>
      </c>
      <c r="CZ194" s="14"/>
      <c r="DD194" s="33" t="s">
        <v>189</v>
      </c>
      <c r="DE194">
        <f>$DF$180*DE193</f>
        <v>0.14033439972006909</v>
      </c>
      <c r="DF194">
        <f t="shared" ref="DF194:DN194" si="83">$DF$180*DF193</f>
        <v>9.8598791108727268E-2</v>
      </c>
      <c r="DG194">
        <f t="shared" si="83"/>
        <v>0.11296386487232335</v>
      </c>
      <c r="DH194">
        <f t="shared" si="83"/>
        <v>9.9970947888826771</v>
      </c>
      <c r="DI194">
        <f t="shared" si="83"/>
        <v>293.2087702201693</v>
      </c>
      <c r="DJ194">
        <f t="shared" si="83"/>
        <v>343.097761053412</v>
      </c>
      <c r="DK194">
        <f t="shared" si="83"/>
        <v>304.31257709610765</v>
      </c>
      <c r="DL194">
        <f t="shared" si="83"/>
        <v>164.38033061353048</v>
      </c>
      <c r="DM194">
        <f t="shared" si="83"/>
        <v>0.75920102686027302</v>
      </c>
      <c r="DN194">
        <f t="shared" si="83"/>
        <v>0.24720685501381257</v>
      </c>
      <c r="DO194" s="14"/>
    </row>
    <row r="195" spans="66:119" x14ac:dyDescent="0.35">
      <c r="BN195" s="33"/>
      <c r="BY195" s="14"/>
      <c r="CA195" s="33" t="s">
        <v>172</v>
      </c>
      <c r="CB195">
        <f>$CC$181/10</f>
        <v>7121.1387096774197</v>
      </c>
      <c r="CC195">
        <f t="shared" ref="CC195:CK195" si="84">$CC$181/10</f>
        <v>7121.1387096774197</v>
      </c>
      <c r="CD195">
        <f t="shared" si="84"/>
        <v>7121.1387096774197</v>
      </c>
      <c r="CE195">
        <f t="shared" si="84"/>
        <v>7121.1387096774197</v>
      </c>
      <c r="CF195">
        <f t="shared" si="84"/>
        <v>7121.1387096774197</v>
      </c>
      <c r="CG195">
        <f t="shared" si="84"/>
        <v>7121.1387096774197</v>
      </c>
      <c r="CH195">
        <f t="shared" si="84"/>
        <v>7121.1387096774197</v>
      </c>
      <c r="CI195">
        <f t="shared" si="84"/>
        <v>7121.1387096774197</v>
      </c>
      <c r="CJ195">
        <f t="shared" si="84"/>
        <v>7121.1387096774197</v>
      </c>
      <c r="CK195">
        <f t="shared" si="84"/>
        <v>7121.1387096774197</v>
      </c>
      <c r="CL195" s="14"/>
      <c r="CO195" s="33" t="s">
        <v>172</v>
      </c>
      <c r="CP195">
        <f t="shared" ref="CP195:CY195" si="85">$CQ$181/10</f>
        <v>6636.6333333333332</v>
      </c>
      <c r="CQ195">
        <f t="shared" si="85"/>
        <v>6636.6333333333332</v>
      </c>
      <c r="CR195">
        <f t="shared" si="85"/>
        <v>6636.6333333333332</v>
      </c>
      <c r="CS195">
        <f t="shared" si="85"/>
        <v>6636.6333333333332</v>
      </c>
      <c r="CT195">
        <f t="shared" si="85"/>
        <v>6636.6333333333332</v>
      </c>
      <c r="CU195">
        <f t="shared" si="85"/>
        <v>6636.6333333333332</v>
      </c>
      <c r="CV195">
        <f t="shared" si="85"/>
        <v>6636.6333333333332</v>
      </c>
      <c r="CW195">
        <f t="shared" si="85"/>
        <v>6636.6333333333332</v>
      </c>
      <c r="CX195">
        <f t="shared" si="85"/>
        <v>6636.6333333333332</v>
      </c>
      <c r="CY195">
        <f t="shared" si="85"/>
        <v>6636.6333333333332</v>
      </c>
      <c r="CZ195" s="14"/>
      <c r="DD195" s="33" t="s">
        <v>172</v>
      </c>
      <c r="DE195">
        <f>$DF$182/10</f>
        <v>6011.8</v>
      </c>
      <c r="DF195">
        <f t="shared" ref="DF195:DN195" si="86">$DF$182/10</f>
        <v>6011.8</v>
      </c>
      <c r="DG195">
        <f t="shared" si="86"/>
        <v>6011.8</v>
      </c>
      <c r="DH195">
        <f t="shared" si="86"/>
        <v>6011.8</v>
      </c>
      <c r="DI195">
        <f t="shared" si="86"/>
        <v>6011.8</v>
      </c>
      <c r="DJ195">
        <f t="shared" si="86"/>
        <v>6011.8</v>
      </c>
      <c r="DK195">
        <f t="shared" si="86"/>
        <v>6011.8</v>
      </c>
      <c r="DL195">
        <f t="shared" si="86"/>
        <v>6011.8</v>
      </c>
      <c r="DM195">
        <f t="shared" si="86"/>
        <v>6011.8</v>
      </c>
      <c r="DN195">
        <f t="shared" si="86"/>
        <v>6011.8</v>
      </c>
      <c r="DO195" s="14"/>
    </row>
    <row r="196" spans="66:119" x14ac:dyDescent="0.35">
      <c r="BN196" s="33"/>
      <c r="BY196" s="14"/>
      <c r="CA196" s="33" t="s">
        <v>170</v>
      </c>
      <c r="CB196">
        <f>$CC$180/10</f>
        <v>47339.758064516129</v>
      </c>
      <c r="CC196">
        <f t="shared" ref="CC196:CK196" si="87">$CC$180/10</f>
        <v>47339.758064516129</v>
      </c>
      <c r="CD196">
        <f t="shared" si="87"/>
        <v>47339.758064516129</v>
      </c>
      <c r="CE196">
        <f t="shared" si="87"/>
        <v>47339.758064516129</v>
      </c>
      <c r="CF196">
        <f t="shared" si="87"/>
        <v>47339.758064516129</v>
      </c>
      <c r="CG196">
        <f t="shared" si="87"/>
        <v>47339.758064516129</v>
      </c>
      <c r="CH196">
        <f t="shared" si="87"/>
        <v>47339.758064516129</v>
      </c>
      <c r="CI196">
        <f t="shared" si="87"/>
        <v>47339.758064516129</v>
      </c>
      <c r="CJ196">
        <f t="shared" si="87"/>
        <v>47339.758064516129</v>
      </c>
      <c r="CK196">
        <f t="shared" si="87"/>
        <v>47339.758064516129</v>
      </c>
      <c r="CL196" s="14"/>
      <c r="CO196" s="33" t="s">
        <v>170</v>
      </c>
      <c r="CP196">
        <f t="shared" ref="CP196:CY196" si="88">$CQ$180/10</f>
        <v>43008.913333333338</v>
      </c>
      <c r="CQ196">
        <f t="shared" si="88"/>
        <v>43008.913333333338</v>
      </c>
      <c r="CR196">
        <f t="shared" si="88"/>
        <v>43008.913333333338</v>
      </c>
      <c r="CS196">
        <f t="shared" si="88"/>
        <v>43008.913333333338</v>
      </c>
      <c r="CT196">
        <f t="shared" si="88"/>
        <v>43008.913333333338</v>
      </c>
      <c r="CU196">
        <f t="shared" si="88"/>
        <v>43008.913333333338</v>
      </c>
      <c r="CV196">
        <f t="shared" si="88"/>
        <v>43008.913333333338</v>
      </c>
      <c r="CW196">
        <f t="shared" si="88"/>
        <v>43008.913333333338</v>
      </c>
      <c r="CX196">
        <f t="shared" si="88"/>
        <v>43008.913333333338</v>
      </c>
      <c r="CY196">
        <f t="shared" si="88"/>
        <v>43008.913333333338</v>
      </c>
      <c r="CZ196" s="14"/>
      <c r="DD196" s="33" t="s">
        <v>170</v>
      </c>
      <c r="DE196">
        <f>$DF$181/10</f>
        <v>43511.609677419357</v>
      </c>
      <c r="DF196">
        <f t="shared" ref="DF196:DN196" si="89">$DF$181/10</f>
        <v>43511.609677419357</v>
      </c>
      <c r="DG196">
        <f t="shared" si="89"/>
        <v>43511.609677419357</v>
      </c>
      <c r="DH196">
        <f t="shared" si="89"/>
        <v>43511.609677419357</v>
      </c>
      <c r="DI196">
        <f t="shared" si="89"/>
        <v>43511.609677419357</v>
      </c>
      <c r="DJ196">
        <f t="shared" si="89"/>
        <v>43511.609677419357</v>
      </c>
      <c r="DK196">
        <f t="shared" si="89"/>
        <v>43511.609677419357</v>
      </c>
      <c r="DL196">
        <f t="shared" si="89"/>
        <v>43511.609677419357</v>
      </c>
      <c r="DM196">
        <f t="shared" si="89"/>
        <v>43511.609677419357</v>
      </c>
      <c r="DN196">
        <f t="shared" si="89"/>
        <v>43511.609677419357</v>
      </c>
      <c r="DO196" s="14"/>
    </row>
    <row r="197" spans="66:119" x14ac:dyDescent="0.35">
      <c r="BN197" s="33"/>
      <c r="BY197" s="14"/>
      <c r="CA197" s="33"/>
      <c r="CL197" s="14"/>
      <c r="CO197" s="33"/>
      <c r="CZ197" s="14"/>
      <c r="DD197" s="33"/>
      <c r="DO197" s="14"/>
    </row>
    <row r="198" spans="66:119" x14ac:dyDescent="0.35">
      <c r="BN198" s="33"/>
      <c r="BY198" s="14"/>
      <c r="CA198" s="33" t="s">
        <v>194</v>
      </c>
      <c r="CB198">
        <f>SUM(CB192,CB194:CB196)</f>
        <v>55998.945114762697</v>
      </c>
      <c r="CC198">
        <f t="shared" ref="CC198:CK198" si="90">SUM(CC192,CC194:CC196)</f>
        <v>56006.778096253387</v>
      </c>
      <c r="CD198">
        <f t="shared" si="90"/>
        <v>56636.596291519571</v>
      </c>
      <c r="CE198">
        <f t="shared" si="90"/>
        <v>57046.316934800343</v>
      </c>
      <c r="CF198">
        <f t="shared" si="90"/>
        <v>58153.800673245547</v>
      </c>
      <c r="CG198">
        <f t="shared" si="90"/>
        <v>57723.327302154787</v>
      </c>
      <c r="CH198">
        <f t="shared" si="90"/>
        <v>57846.193688549341</v>
      </c>
      <c r="CI198">
        <f t="shared" si="90"/>
        <v>58709.86321518691</v>
      </c>
      <c r="CJ198">
        <f t="shared" si="90"/>
        <v>56312.247919914371</v>
      </c>
      <c r="CK198">
        <f t="shared" si="90"/>
        <v>56694.968077177487</v>
      </c>
      <c r="CL198" s="14"/>
      <c r="CO198" s="33" t="s">
        <v>194</v>
      </c>
      <c r="CP198">
        <f t="shared" ref="CP198:CY198" si="91">SUM(CP192,CP194:CP196)</f>
        <v>52076.298104633905</v>
      </c>
      <c r="CQ198">
        <f t="shared" si="91"/>
        <v>52074.512047439122</v>
      </c>
      <c r="CR198">
        <f t="shared" si="91"/>
        <v>53378.787023149431</v>
      </c>
      <c r="CS198">
        <f t="shared" si="91"/>
        <v>52341.16164279214</v>
      </c>
      <c r="CT198">
        <f t="shared" si="91"/>
        <v>55401.200645102159</v>
      </c>
      <c r="CU198">
        <f t="shared" si="91"/>
        <v>54280.108335984842</v>
      </c>
      <c r="CV198">
        <f t="shared" si="91"/>
        <v>54419.145018132302</v>
      </c>
      <c r="CW198">
        <f t="shared" si="91"/>
        <v>55718.132133177525</v>
      </c>
      <c r="CX198">
        <f t="shared" si="91"/>
        <v>52470.274804530331</v>
      </c>
      <c r="CY198">
        <f t="shared" si="91"/>
        <v>53324.746911724935</v>
      </c>
      <c r="CZ198" s="14"/>
      <c r="DD198" s="33" t="s">
        <v>194</v>
      </c>
      <c r="DE198">
        <f>SUM(DE192,DE194:DE196)</f>
        <v>53791.68269819305</v>
      </c>
      <c r="DF198">
        <f t="shared" ref="DF198:DN198" si="92">SUM(DF192,DF194:DF196)</f>
        <v>53584.487945999492</v>
      </c>
      <c r="DG198">
        <f t="shared" si="92"/>
        <v>55991.892109914232</v>
      </c>
      <c r="DH198">
        <f t="shared" si="92"/>
        <v>54060.542677302081</v>
      </c>
      <c r="DI198">
        <f t="shared" si="92"/>
        <v>57701.214956519703</v>
      </c>
      <c r="DJ198">
        <f t="shared" si="92"/>
        <v>56452.267744788733</v>
      </c>
      <c r="DK198">
        <f t="shared" si="92"/>
        <v>57004.360110541704</v>
      </c>
      <c r="DL198">
        <f t="shared" si="92"/>
        <v>58467.375515884203</v>
      </c>
      <c r="DM198">
        <f t="shared" si="92"/>
        <v>53824.060071648593</v>
      </c>
      <c r="DN198">
        <f t="shared" si="92"/>
        <v>55956.664556305012</v>
      </c>
      <c r="DO198" s="14"/>
    </row>
    <row r="199" spans="66:119" x14ac:dyDescent="0.35">
      <c r="BN199" s="33"/>
      <c r="BY199" s="14"/>
      <c r="CA199" s="33"/>
      <c r="CL199" s="14"/>
      <c r="CO199" s="33"/>
      <c r="CZ199" s="14"/>
      <c r="DD199" s="33"/>
      <c r="DO199" s="14"/>
    </row>
    <row r="200" spans="66:119" x14ac:dyDescent="0.35">
      <c r="BN200" s="33"/>
      <c r="BY200" s="14"/>
      <c r="CA200" s="33"/>
      <c r="CL200" s="14"/>
      <c r="CO200" s="33"/>
      <c r="CZ200" s="14"/>
      <c r="DD200" s="33"/>
      <c r="DO200" s="14"/>
    </row>
    <row r="201" spans="66:119" x14ac:dyDescent="0.35">
      <c r="BN201" s="33"/>
      <c r="BY201" s="14"/>
      <c r="CA201" s="33"/>
      <c r="CL201" s="14"/>
      <c r="CO201" s="33"/>
      <c r="CZ201" s="14"/>
      <c r="DD201" s="33"/>
      <c r="DO201" s="14"/>
    </row>
    <row r="202" spans="66:119" x14ac:dyDescent="0.35">
      <c r="BN202" s="33"/>
      <c r="BY202" s="14"/>
      <c r="CA202" s="33"/>
      <c r="CL202" s="14"/>
      <c r="CO202" s="33"/>
      <c r="CZ202" s="14"/>
      <c r="DD202" s="33"/>
      <c r="DO202" s="14"/>
    </row>
    <row r="203" spans="66:119" x14ac:dyDescent="0.35">
      <c r="BN203" s="33"/>
      <c r="BY203" s="14"/>
      <c r="CA203" s="33"/>
      <c r="CL203" s="14"/>
      <c r="CO203" s="33"/>
      <c r="CZ203" s="14"/>
      <c r="DD203" s="33"/>
      <c r="DO203" s="14"/>
    </row>
    <row r="204" spans="66:119" x14ac:dyDescent="0.35">
      <c r="BN204" s="33"/>
      <c r="BY204" s="14"/>
      <c r="CA204" s="33"/>
      <c r="CL204" s="14"/>
      <c r="CO204" s="33"/>
      <c r="CZ204" s="14"/>
      <c r="DD204" s="33"/>
      <c r="DO204" s="14"/>
    </row>
    <row r="205" spans="66:119" x14ac:dyDescent="0.35">
      <c r="BN205" s="33"/>
      <c r="BY205" s="14"/>
      <c r="CA205" s="33"/>
      <c r="CL205" s="14"/>
      <c r="CO205" s="33"/>
      <c r="CZ205" s="14"/>
      <c r="DD205" s="33"/>
      <c r="DO205" s="14"/>
    </row>
    <row r="206" spans="66:119" ht="15" thickBot="1" x14ac:dyDescent="0.4">
      <c r="BN206" s="33"/>
      <c r="BY206" s="14"/>
      <c r="CA206" s="33"/>
      <c r="CL206" s="14"/>
      <c r="CO206" s="35"/>
      <c r="CP206" s="15"/>
      <c r="CQ206" s="15"/>
      <c r="CR206" s="15"/>
      <c r="CS206" s="15"/>
      <c r="CT206" s="15"/>
      <c r="CU206" s="15"/>
      <c r="CV206" s="15"/>
      <c r="CW206" s="15"/>
      <c r="CX206" s="15"/>
      <c r="CY206" s="15"/>
      <c r="CZ206" s="16"/>
      <c r="DD206" s="33"/>
      <c r="DO206" s="14"/>
    </row>
    <row r="207" spans="66:119" x14ac:dyDescent="0.35">
      <c r="BN207" s="33"/>
      <c r="BY207" s="14"/>
      <c r="CA207" s="33"/>
      <c r="CL207" s="14"/>
      <c r="DD207" s="33"/>
      <c r="DO207" s="14"/>
    </row>
    <row r="208" spans="66:119" ht="15" thickBot="1" x14ac:dyDescent="0.4">
      <c r="BN208" s="35"/>
      <c r="BO208" s="15"/>
      <c r="BP208" s="15"/>
      <c r="BQ208" s="15"/>
      <c r="BR208" s="15"/>
      <c r="BS208" s="15"/>
      <c r="BT208" s="15"/>
      <c r="BU208" s="15"/>
      <c r="BV208" s="15"/>
      <c r="BW208" s="15"/>
      <c r="BX208" s="15"/>
      <c r="BY208" s="16"/>
      <c r="CA208" s="35"/>
      <c r="CB208" s="15"/>
      <c r="CC208" s="15"/>
      <c r="CD208" s="15"/>
      <c r="CE208" s="15"/>
      <c r="CF208" s="15"/>
      <c r="CG208" s="15"/>
      <c r="CH208" s="15"/>
      <c r="CI208" s="15"/>
      <c r="CJ208" s="15"/>
      <c r="CK208" s="15"/>
      <c r="CL208" s="16"/>
      <c r="DD208" s="33"/>
      <c r="DO208" s="14"/>
    </row>
    <row r="209" spans="66:119" ht="15" thickBot="1" x14ac:dyDescent="0.4">
      <c r="DD209" s="33"/>
      <c r="DO209" s="14"/>
    </row>
    <row r="210" spans="66:119" x14ac:dyDescent="0.35">
      <c r="BN210" s="38" t="s">
        <v>193</v>
      </c>
      <c r="BO210" s="32"/>
      <c r="BP210" s="32"/>
      <c r="BQ210" s="32"/>
      <c r="BR210" s="32"/>
      <c r="BS210" s="32"/>
      <c r="BT210" s="32"/>
      <c r="BU210" s="32"/>
      <c r="BV210" s="32"/>
      <c r="BW210" s="32"/>
      <c r="BX210" s="3"/>
      <c r="CB210" s="38" t="s">
        <v>195</v>
      </c>
      <c r="CC210" s="32"/>
      <c r="CD210" s="32"/>
      <c r="CE210" s="32"/>
      <c r="CF210" s="32"/>
      <c r="CG210" s="32"/>
      <c r="CH210" s="32"/>
      <c r="CI210" s="32"/>
      <c r="CJ210" s="32"/>
      <c r="CK210" s="32"/>
      <c r="CL210" s="32"/>
      <c r="CM210" s="3"/>
      <c r="DD210" s="33"/>
      <c r="DO210" s="14"/>
    </row>
    <row r="211" spans="66:119" x14ac:dyDescent="0.35">
      <c r="BN211" s="33"/>
      <c r="BX211" s="14"/>
      <c r="CB211" s="33"/>
      <c r="CM211" s="14"/>
      <c r="DD211" s="33"/>
      <c r="DO211" s="14"/>
    </row>
    <row r="212" spans="66:119" x14ac:dyDescent="0.35">
      <c r="BN212" s="33"/>
      <c r="BX212" s="14"/>
      <c r="CB212" s="33"/>
      <c r="CM212" s="14"/>
      <c r="DD212" s="33"/>
      <c r="DO212" s="14"/>
    </row>
    <row r="213" spans="66:119" x14ac:dyDescent="0.35">
      <c r="BN213" s="33"/>
      <c r="BO213" t="s">
        <v>181</v>
      </c>
      <c r="BP213">
        <f>BH38/30</f>
        <v>1153744.7</v>
      </c>
      <c r="BX213" s="14"/>
      <c r="CB213" s="33"/>
      <c r="CM213" s="14"/>
      <c r="DD213" s="33"/>
      <c r="DO213" s="14"/>
    </row>
    <row r="214" spans="66:119" ht="15" thickBot="1" x14ac:dyDescent="0.4">
      <c r="BN214" s="33"/>
      <c r="BO214" t="s">
        <v>201</v>
      </c>
      <c r="BP214">
        <f>(BH11+BH14+BH16+BH6)/30</f>
        <v>50807.9</v>
      </c>
      <c r="BX214" s="14"/>
      <c r="CB214" s="33"/>
      <c r="CC214" t="s">
        <v>181</v>
      </c>
      <c r="CD214">
        <f>BI38/31</f>
        <v>1053128.1935483871</v>
      </c>
      <c r="CM214" s="14"/>
      <c r="DD214" s="35"/>
      <c r="DE214" s="15"/>
      <c r="DF214" s="15"/>
      <c r="DG214" s="15"/>
      <c r="DH214" s="15"/>
      <c r="DI214" s="15"/>
      <c r="DJ214" s="15"/>
      <c r="DK214" s="15"/>
      <c r="DL214" s="15"/>
      <c r="DM214" s="15"/>
      <c r="DN214" s="15"/>
      <c r="DO214" s="16"/>
    </row>
    <row r="215" spans="66:119" x14ac:dyDescent="0.35">
      <c r="BN215" s="33"/>
      <c r="BO215" t="s">
        <v>93</v>
      </c>
      <c r="BP215">
        <f>(BH12+BH15+BH17)/30</f>
        <v>628.4666666666667</v>
      </c>
      <c r="BX215" s="14"/>
      <c r="CB215" s="33"/>
      <c r="CC215" t="s">
        <v>201</v>
      </c>
      <c r="CD215">
        <f>(BI11+BI14+BI16+BI6)/31</f>
        <v>69643.387096774197</v>
      </c>
      <c r="CM215" s="14"/>
    </row>
    <row r="216" spans="66:119" x14ac:dyDescent="0.35">
      <c r="BN216" s="33"/>
      <c r="BO216" t="s">
        <v>170</v>
      </c>
      <c r="BP216">
        <f>BH9/30</f>
        <v>411220.26666666666</v>
      </c>
      <c r="BX216" s="14"/>
      <c r="CB216" s="33"/>
      <c r="CC216" t="s">
        <v>93</v>
      </c>
      <c r="CD216">
        <f>(BI12+BI15+BI17)/31</f>
        <v>605.70967741935488</v>
      </c>
      <c r="CM216" s="14"/>
    </row>
    <row r="217" spans="66:119" x14ac:dyDescent="0.35">
      <c r="BN217" s="33"/>
      <c r="BO217" t="s">
        <v>172</v>
      </c>
      <c r="BP217">
        <f>BH10/30</f>
        <v>69597.5</v>
      </c>
      <c r="BX217" s="14"/>
      <c r="CB217" s="33"/>
      <c r="CC217" t="s">
        <v>170</v>
      </c>
      <c r="CD217">
        <f>BI9/31</f>
        <v>388651.67741935485</v>
      </c>
      <c r="CM217" s="14"/>
    </row>
    <row r="218" spans="66:119" ht="14.5" customHeight="1" x14ac:dyDescent="0.35">
      <c r="BN218" s="33"/>
      <c r="BX218" s="14"/>
      <c r="CB218" s="33"/>
      <c r="CC218" t="s">
        <v>172</v>
      </c>
      <c r="CD218">
        <f>BI10/31</f>
        <v>78861.741935483864</v>
      </c>
      <c r="CM218" s="14"/>
    </row>
    <row r="219" spans="66:119" ht="14.5" customHeight="1" x14ac:dyDescent="0.35">
      <c r="BN219" s="33"/>
      <c r="BX219" s="14"/>
      <c r="CB219" s="33"/>
      <c r="CM219" s="14"/>
    </row>
    <row r="220" spans="66:119" ht="14.5" customHeight="1" x14ac:dyDescent="0.35">
      <c r="BN220" s="33"/>
      <c r="BX220" s="14"/>
      <c r="CB220" s="33"/>
      <c r="CM220" s="14"/>
    </row>
    <row r="221" spans="66:119" ht="14.5" customHeight="1" x14ac:dyDescent="0.35">
      <c r="BN221" s="33"/>
      <c r="BX221" s="14"/>
      <c r="CB221" s="33"/>
      <c r="CM221" s="14"/>
    </row>
    <row r="222" spans="66:119" ht="14.5" customHeight="1" x14ac:dyDescent="0.35">
      <c r="BN222" s="33"/>
      <c r="BX222" s="14"/>
      <c r="CB222" s="33"/>
      <c r="CM222" s="14"/>
    </row>
    <row r="223" spans="66:119" ht="14.5" customHeight="1" x14ac:dyDescent="0.35">
      <c r="BN223" s="33"/>
      <c r="BX223" s="14"/>
      <c r="CB223" s="33"/>
      <c r="CM223" s="14"/>
    </row>
    <row r="224" spans="66:119" ht="14.5" customHeight="1" x14ac:dyDescent="0.35">
      <c r="BN224" s="33"/>
      <c r="BX224" s="14"/>
      <c r="CB224" s="33"/>
      <c r="CC224" t="s">
        <v>154</v>
      </c>
      <c r="CD224" t="s">
        <v>155</v>
      </c>
      <c r="CE224" t="s">
        <v>156</v>
      </c>
      <c r="CF224" t="s">
        <v>157</v>
      </c>
      <c r="CG224" t="s">
        <v>158</v>
      </c>
      <c r="CH224" t="s">
        <v>159</v>
      </c>
      <c r="CI224" t="s">
        <v>160</v>
      </c>
      <c r="CJ224" t="s">
        <v>161</v>
      </c>
      <c r="CK224" t="s">
        <v>162</v>
      </c>
      <c r="CL224" t="s">
        <v>163</v>
      </c>
      <c r="CM224" s="14"/>
    </row>
    <row r="225" spans="66:91" ht="14.5" customHeight="1" x14ac:dyDescent="0.35">
      <c r="BN225" s="33"/>
      <c r="BO225" t="s">
        <v>154</v>
      </c>
      <c r="BP225" t="s">
        <v>155</v>
      </c>
      <c r="BQ225" t="s">
        <v>156</v>
      </c>
      <c r="BR225" t="s">
        <v>157</v>
      </c>
      <c r="BS225" t="s">
        <v>158</v>
      </c>
      <c r="BT225" t="s">
        <v>159</v>
      </c>
      <c r="BU225" t="s">
        <v>160</v>
      </c>
      <c r="BV225" t="s">
        <v>161</v>
      </c>
      <c r="BW225" t="s">
        <v>162</v>
      </c>
      <c r="BX225" s="14" t="s">
        <v>163</v>
      </c>
      <c r="CB225" s="33" t="s">
        <v>181</v>
      </c>
      <c r="CC225">
        <v>8.5637823371989288E-2</v>
      </c>
      <c r="CD225">
        <v>7.4933095450490636E-2</v>
      </c>
      <c r="CE225">
        <v>6.2444246208742192E-2</v>
      </c>
      <c r="CF225">
        <v>7.1364852809991081E-2</v>
      </c>
      <c r="CG225">
        <v>0.10347903657448707</v>
      </c>
      <c r="CH225">
        <v>0.1159678858162355</v>
      </c>
      <c r="CI225">
        <v>0.1159678858162355</v>
      </c>
      <c r="CJ225">
        <v>0.12488849241748438</v>
      </c>
      <c r="CK225">
        <v>0.13380909901873328</v>
      </c>
      <c r="CL225">
        <v>0.11150758251561106</v>
      </c>
      <c r="CM225" s="14"/>
    </row>
    <row r="226" spans="66:91" ht="14.5" customHeight="1" x14ac:dyDescent="0.35">
      <c r="BN226" s="33" t="s">
        <v>181</v>
      </c>
      <c r="BO226">
        <v>7.6117982873453852E-2</v>
      </c>
      <c r="BP226">
        <v>7.2312083729781165E-2</v>
      </c>
      <c r="BQ226">
        <v>6.6603235014272122E-2</v>
      </c>
      <c r="BR226">
        <v>7.6117982873453852E-2</v>
      </c>
      <c r="BS226">
        <v>0.11037107516650808</v>
      </c>
      <c r="BT226">
        <v>0.11798287345385347</v>
      </c>
      <c r="BU226">
        <v>0.11417697431018078</v>
      </c>
      <c r="BV226">
        <v>0.11798287345385347</v>
      </c>
      <c r="BW226">
        <v>0.12940057088487156</v>
      </c>
      <c r="BX226" s="14">
        <v>0.11893434823977164</v>
      </c>
      <c r="CB226" s="33" t="s">
        <v>181</v>
      </c>
      <c r="CC226">
        <f>$CD$214*CC225</f>
        <v>90187.606227158933</v>
      </c>
      <c r="CD226">
        <f t="shared" ref="CD226:CL226" si="93">$CD$214*CD225</f>
        <v>78914.155448764068</v>
      </c>
      <c r="CE226">
        <f t="shared" si="93"/>
        <v>65761.796207303385</v>
      </c>
      <c r="CF226">
        <f t="shared" si="93"/>
        <v>75156.338522632446</v>
      </c>
      <c r="CG226">
        <f t="shared" si="93"/>
        <v>108976.69085781704</v>
      </c>
      <c r="CH226">
        <f t="shared" si="93"/>
        <v>122129.05009927772</v>
      </c>
      <c r="CI226">
        <f t="shared" si="93"/>
        <v>122129.05009927772</v>
      </c>
      <c r="CJ226">
        <f t="shared" si="93"/>
        <v>131523.59241460677</v>
      </c>
      <c r="CK226">
        <f t="shared" si="93"/>
        <v>140918.13472993585</v>
      </c>
      <c r="CL226">
        <f t="shared" si="93"/>
        <v>117431.7789416132</v>
      </c>
      <c r="CM226" s="14"/>
    </row>
    <row r="227" spans="66:91" ht="14.5" customHeight="1" x14ac:dyDescent="0.35">
      <c r="BN227" s="33" t="s">
        <v>181</v>
      </c>
      <c r="BO227">
        <f>$BP$213*BO226</f>
        <v>87820.719314938149</v>
      </c>
      <c r="BP227">
        <f t="shared" ref="BP227:BX227" si="94">$BP$213*BP226</f>
        <v>83429.683349191255</v>
      </c>
      <c r="BQ227">
        <f t="shared" si="94"/>
        <v>76843.129400570877</v>
      </c>
      <c r="BR227">
        <f t="shared" si="94"/>
        <v>87820.719314938149</v>
      </c>
      <c r="BS227">
        <f t="shared" si="94"/>
        <v>127340.04300666031</v>
      </c>
      <c r="BT227">
        <f t="shared" si="94"/>
        <v>136122.11493815412</v>
      </c>
      <c r="BU227">
        <f t="shared" si="94"/>
        <v>131731.07897240724</v>
      </c>
      <c r="BV227">
        <f t="shared" si="94"/>
        <v>136122.11493815412</v>
      </c>
      <c r="BW227">
        <f t="shared" si="94"/>
        <v>149295.22283539487</v>
      </c>
      <c r="BX227" s="14">
        <f t="shared" si="94"/>
        <v>137219.87392959086</v>
      </c>
      <c r="CB227" s="33" t="s">
        <v>184</v>
      </c>
      <c r="CC227">
        <v>8.165259480355655E-2</v>
      </c>
      <c r="CD227">
        <v>8.8822889770702712E-2</v>
      </c>
      <c r="CE227">
        <v>0.12327025561731776</v>
      </c>
      <c r="CF227">
        <v>7.6387027171195193E-2</v>
      </c>
      <c r="CG227">
        <v>0.11926859829990794</v>
      </c>
      <c r="CH227">
        <v>9.2689018202838369E-2</v>
      </c>
      <c r="CI227">
        <v>9.4141098193551404E-2</v>
      </c>
      <c r="CJ227">
        <v>0.12671621271772632</v>
      </c>
      <c r="CK227">
        <v>7.7739662707377657E-2</v>
      </c>
      <c r="CL227">
        <v>0.11931264251582636</v>
      </c>
      <c r="CM227" s="14"/>
    </row>
    <row r="228" spans="66:91" ht="14.5" customHeight="1" x14ac:dyDescent="0.35">
      <c r="BN228" s="33" t="s">
        <v>184</v>
      </c>
      <c r="BO228">
        <v>7.3648722098394195E-2</v>
      </c>
      <c r="BP228">
        <v>7.1702214839319448E-2</v>
      </c>
      <c r="BQ228">
        <v>0.10790832277379528</v>
      </c>
      <c r="BR228">
        <v>7.4289774139522896E-2</v>
      </c>
      <c r="BS228">
        <v>0.13055341110302704</v>
      </c>
      <c r="BT228">
        <v>0.10669043434932723</v>
      </c>
      <c r="BU228">
        <v>0.11368867779888985</v>
      </c>
      <c r="BV228">
        <v>0.14664597880607841</v>
      </c>
      <c r="BW228">
        <v>7.1698270388905735E-2</v>
      </c>
      <c r="BX228" s="14">
        <v>0.10317419370273982</v>
      </c>
      <c r="CB228" s="33" t="s">
        <v>185</v>
      </c>
      <c r="CC228">
        <f>$CD$215*CC227</f>
        <v>5686.5632673601422</v>
      </c>
      <c r="CD228">
        <f t="shared" ref="CD228:CL228" si="95">$CD$215*CD227</f>
        <v>6185.9268953551536</v>
      </c>
      <c r="CE228">
        <f t="shared" si="95"/>
        <v>8584.9581294751642</v>
      </c>
      <c r="CF228">
        <f t="shared" si="95"/>
        <v>5319.8513024553549</v>
      </c>
      <c r="CG228">
        <f t="shared" si="95"/>
        <v>8306.2691598901529</v>
      </c>
      <c r="CH228">
        <f t="shared" si="95"/>
        <v>6455.1771743202225</v>
      </c>
      <c r="CI228">
        <f t="shared" si="95"/>
        <v>6556.3049432089301</v>
      </c>
      <c r="CJ228">
        <f t="shared" si="95"/>
        <v>8824.9462537377949</v>
      </c>
      <c r="CK228">
        <f t="shared" si="95"/>
        <v>5414.0534227025637</v>
      </c>
      <c r="CL228">
        <f t="shared" si="95"/>
        <v>8309.336548268735</v>
      </c>
      <c r="CM228" s="14"/>
    </row>
    <row r="229" spans="66:91" ht="14.5" customHeight="1" x14ac:dyDescent="0.35">
      <c r="BN229" s="33" t="s">
        <v>185</v>
      </c>
      <c r="BO229">
        <f>$BP$214*BO228</f>
        <v>3741.9369075030027</v>
      </c>
      <c r="BP229">
        <f t="shared" ref="BP229:BX229" si="96">$BP$214*BP228</f>
        <v>3643.0389613346588</v>
      </c>
      <c r="BQ229">
        <f t="shared" si="96"/>
        <v>5482.5952726587129</v>
      </c>
      <c r="BR229">
        <f t="shared" si="96"/>
        <v>3774.5074155034654</v>
      </c>
      <c r="BS229">
        <f t="shared" si="96"/>
        <v>6633.1446559814876</v>
      </c>
      <c r="BT229">
        <f t="shared" si="96"/>
        <v>5420.7169193771833</v>
      </c>
      <c r="BU229">
        <f t="shared" si="96"/>
        <v>5776.2829727382159</v>
      </c>
      <c r="BV229">
        <f t="shared" si="96"/>
        <v>7450.7742265813513</v>
      </c>
      <c r="BW229">
        <f t="shared" si="96"/>
        <v>3642.838552092484</v>
      </c>
      <c r="BX229" s="14">
        <f t="shared" si="96"/>
        <v>5242.0641162294351</v>
      </c>
      <c r="CB229" s="33" t="s">
        <v>93</v>
      </c>
      <c r="CC229">
        <v>5.1160616115804997E-4</v>
      </c>
      <c r="CD229">
        <v>5.5633950639045299E-4</v>
      </c>
      <c r="CE229">
        <v>8.4961983343151762E-4</v>
      </c>
      <c r="CF229">
        <v>7.0920360803238902E-4</v>
      </c>
      <c r="CG229">
        <v>0.2117992689956226</v>
      </c>
      <c r="CH229">
        <v>0.34365166606719122</v>
      </c>
      <c r="CI229">
        <v>0.30398662483667793</v>
      </c>
      <c r="CJ229">
        <v>0.13680217838839354</v>
      </c>
      <c r="CK229">
        <v>3.8241393776216844E-4</v>
      </c>
      <c r="CL229">
        <v>7.5107866534008432E-4</v>
      </c>
      <c r="CM229" s="14"/>
    </row>
    <row r="230" spans="66:91" ht="14.5" customHeight="1" x14ac:dyDescent="0.35">
      <c r="BN230" s="33" t="s">
        <v>93</v>
      </c>
      <c r="BO230">
        <v>6.7651240846723851E-5</v>
      </c>
      <c r="BP230">
        <v>4.279255827885318E-5</v>
      </c>
      <c r="BQ230">
        <v>1.0743450755923455E-4</v>
      </c>
      <c r="BR230">
        <v>2.9535021201514701E-3</v>
      </c>
      <c r="BS230">
        <v>0.23440175314313352</v>
      </c>
      <c r="BT230">
        <v>0.31983743630686684</v>
      </c>
      <c r="BU230">
        <v>0.30176047094467573</v>
      </c>
      <c r="BV230">
        <v>0.14038419031514648</v>
      </c>
      <c r="BW230">
        <v>2.5334919456566142E-4</v>
      </c>
      <c r="BX230" s="14">
        <v>1.9141966877563735E-4</v>
      </c>
      <c r="CB230" s="33" t="s">
        <v>189</v>
      </c>
      <c r="CC230">
        <f>$CD$216*CC229</f>
        <v>0.30988480284079695</v>
      </c>
      <c r="CD230">
        <f t="shared" ref="CD230:CL230" si="97">$CD$216*CD229</f>
        <v>0.3369802229514044</v>
      </c>
      <c r="CE230">
        <f t="shared" si="97"/>
        <v>0.51462295523689061</v>
      </c>
      <c r="CF230">
        <f t="shared" si="97"/>
        <v>0.42957148864594097</v>
      </c>
      <c r="CG230">
        <f t="shared" si="97"/>
        <v>128.28886690099372</v>
      </c>
      <c r="CH230">
        <f t="shared" si="97"/>
        <v>208.15313979818225</v>
      </c>
      <c r="CI230">
        <f t="shared" si="97"/>
        <v>184.12764046962263</v>
      </c>
      <c r="CJ230">
        <f t="shared" si="97"/>
        <v>82.862403341898883</v>
      </c>
      <c r="CK230">
        <f t="shared" si="97"/>
        <v>0.2316318228825883</v>
      </c>
      <c r="CL230">
        <f t="shared" si="97"/>
        <v>0.45493561609970207</v>
      </c>
      <c r="CM230" s="14"/>
    </row>
    <row r="231" spans="66:91" ht="14.5" customHeight="1" x14ac:dyDescent="0.35">
      <c r="BN231" s="33" t="s">
        <v>189</v>
      </c>
      <c r="BO231">
        <f>$BP$215*BO230</f>
        <v>4.2516549830804384E-2</v>
      </c>
      <c r="BP231">
        <f t="shared" ref="BP231:BX231" si="98">$BP$215*BP230</f>
        <v>2.6893696459649931E-2</v>
      </c>
      <c r="BQ231">
        <f t="shared" si="98"/>
        <v>6.751900685072694E-2</v>
      </c>
      <c r="BR231">
        <f t="shared" si="98"/>
        <v>1.8561776324445274</v>
      </c>
      <c r="BS231">
        <f t="shared" si="98"/>
        <v>147.31368845868798</v>
      </c>
      <c r="BT231">
        <f t="shared" si="98"/>
        <v>201.00716747098892</v>
      </c>
      <c r="BU231">
        <f t="shared" si="98"/>
        <v>189.64639730636389</v>
      </c>
      <c r="BV231">
        <f t="shared" si="98"/>
        <v>88.226784140059067</v>
      </c>
      <c r="BW231">
        <f t="shared" si="98"/>
        <v>0.15922152381136603</v>
      </c>
      <c r="BX231" s="14">
        <f t="shared" si="98"/>
        <v>0.12030088116986222</v>
      </c>
      <c r="CB231" s="33" t="s">
        <v>172</v>
      </c>
      <c r="CC231">
        <f>$CD$218/10</f>
        <v>7886.174193548386</v>
      </c>
      <c r="CD231">
        <f t="shared" ref="CD231:CL231" si="99">$CD$218/10</f>
        <v>7886.174193548386</v>
      </c>
      <c r="CE231">
        <f t="shared" si="99"/>
        <v>7886.174193548386</v>
      </c>
      <c r="CF231">
        <f t="shared" si="99"/>
        <v>7886.174193548386</v>
      </c>
      <c r="CG231">
        <f t="shared" si="99"/>
        <v>7886.174193548386</v>
      </c>
      <c r="CH231">
        <f t="shared" si="99"/>
        <v>7886.174193548386</v>
      </c>
      <c r="CI231">
        <f t="shared" si="99"/>
        <v>7886.174193548386</v>
      </c>
      <c r="CJ231">
        <f t="shared" si="99"/>
        <v>7886.174193548386</v>
      </c>
      <c r="CK231">
        <f t="shared" si="99"/>
        <v>7886.174193548386</v>
      </c>
      <c r="CL231">
        <f t="shared" si="99"/>
        <v>7886.174193548386</v>
      </c>
      <c r="CM231" s="14"/>
    </row>
    <row r="232" spans="66:91" ht="14.5" customHeight="1" x14ac:dyDescent="0.35">
      <c r="BN232" s="33" t="s">
        <v>172</v>
      </c>
      <c r="BO232">
        <f>$BP$217/10</f>
        <v>6959.75</v>
      </c>
      <c r="BP232">
        <f t="shared" ref="BP232:BX232" si="100">$BP$217/10</f>
        <v>6959.75</v>
      </c>
      <c r="BQ232">
        <f t="shared" si="100"/>
        <v>6959.75</v>
      </c>
      <c r="BR232">
        <f t="shared" si="100"/>
        <v>6959.75</v>
      </c>
      <c r="BS232">
        <f t="shared" si="100"/>
        <v>6959.75</v>
      </c>
      <c r="BT232">
        <f t="shared" si="100"/>
        <v>6959.75</v>
      </c>
      <c r="BU232">
        <f t="shared" si="100"/>
        <v>6959.75</v>
      </c>
      <c r="BV232">
        <f t="shared" si="100"/>
        <v>6959.75</v>
      </c>
      <c r="BW232">
        <f t="shared" si="100"/>
        <v>6959.75</v>
      </c>
      <c r="BX232" s="14">
        <f t="shared" si="100"/>
        <v>6959.75</v>
      </c>
      <c r="CB232" s="33" t="s">
        <v>170</v>
      </c>
      <c r="CC232">
        <f>$CD$217/10</f>
        <v>38865.167741935482</v>
      </c>
      <c r="CD232">
        <f t="shared" ref="CD232:CL232" si="101">$CD$217/10</f>
        <v>38865.167741935482</v>
      </c>
      <c r="CE232">
        <f t="shared" si="101"/>
        <v>38865.167741935482</v>
      </c>
      <c r="CF232">
        <f t="shared" si="101"/>
        <v>38865.167741935482</v>
      </c>
      <c r="CG232">
        <f t="shared" si="101"/>
        <v>38865.167741935482</v>
      </c>
      <c r="CH232">
        <f t="shared" si="101"/>
        <v>38865.167741935482</v>
      </c>
      <c r="CI232">
        <f t="shared" si="101"/>
        <v>38865.167741935482</v>
      </c>
      <c r="CJ232">
        <f t="shared" si="101"/>
        <v>38865.167741935482</v>
      </c>
      <c r="CK232">
        <f t="shared" si="101"/>
        <v>38865.167741935482</v>
      </c>
      <c r="CL232">
        <f t="shared" si="101"/>
        <v>38865.167741935482</v>
      </c>
      <c r="CM232" s="14"/>
    </row>
    <row r="233" spans="66:91" ht="14.5" customHeight="1" x14ac:dyDescent="0.35">
      <c r="BN233" s="33" t="s">
        <v>170</v>
      </c>
      <c r="BO233">
        <f>$BP$216/10</f>
        <v>41122.026666666665</v>
      </c>
      <c r="BP233">
        <f t="shared" ref="BP233:BX233" si="102">$BP$216/10</f>
        <v>41122.026666666665</v>
      </c>
      <c r="BQ233">
        <f t="shared" si="102"/>
        <v>41122.026666666665</v>
      </c>
      <c r="BR233">
        <f t="shared" si="102"/>
        <v>41122.026666666665</v>
      </c>
      <c r="BS233">
        <f t="shared" si="102"/>
        <v>41122.026666666665</v>
      </c>
      <c r="BT233">
        <f t="shared" si="102"/>
        <v>41122.026666666665</v>
      </c>
      <c r="BU233">
        <f t="shared" si="102"/>
        <v>41122.026666666665</v>
      </c>
      <c r="BV233">
        <f t="shared" si="102"/>
        <v>41122.026666666665</v>
      </c>
      <c r="BW233">
        <f t="shared" si="102"/>
        <v>41122.026666666665</v>
      </c>
      <c r="BX233" s="14">
        <f t="shared" si="102"/>
        <v>41122.026666666665</v>
      </c>
      <c r="CB233" s="33"/>
      <c r="CM233" s="14"/>
    </row>
    <row r="234" spans="66:91" ht="14.5" customHeight="1" x14ac:dyDescent="0.35">
      <c r="BN234" s="33"/>
      <c r="BX234" s="14"/>
      <c r="CB234" s="33" t="s">
        <v>194</v>
      </c>
      <c r="CC234">
        <f>SUM(CC228,CC230:CC232)</f>
        <v>52438.215087646851</v>
      </c>
      <c r="CD234">
        <f t="shared" ref="CD234:CL234" si="103">SUM(CD228,CD230:CD232)</f>
        <v>52937.605811061978</v>
      </c>
      <c r="CE234">
        <f t="shared" si="103"/>
        <v>55336.814687914273</v>
      </c>
      <c r="CF234">
        <f t="shared" si="103"/>
        <v>52071.62280942787</v>
      </c>
      <c r="CG234">
        <f t="shared" si="103"/>
        <v>55185.899962275013</v>
      </c>
      <c r="CH234">
        <f t="shared" si="103"/>
        <v>53414.67224960227</v>
      </c>
      <c r="CI234">
        <f t="shared" si="103"/>
        <v>53491.77451916242</v>
      </c>
      <c r="CJ234">
        <f t="shared" si="103"/>
        <v>55659.150592563557</v>
      </c>
      <c r="CK234">
        <f t="shared" si="103"/>
        <v>52165.626990009318</v>
      </c>
      <c r="CL234">
        <f t="shared" si="103"/>
        <v>55061.133419368707</v>
      </c>
      <c r="CM234" s="14"/>
    </row>
    <row r="235" spans="66:91" x14ac:dyDescent="0.35">
      <c r="BN235" s="33" t="s">
        <v>194</v>
      </c>
      <c r="BO235">
        <f>SUM(BO229,BO231:BO233)</f>
        <v>51823.7560907195</v>
      </c>
      <c r="BP235">
        <f t="shared" ref="BP235:BX235" si="104">SUM(BP229,BP231:BP233)</f>
        <v>51724.842521697785</v>
      </c>
      <c r="BQ235">
        <f t="shared" si="104"/>
        <v>53564.439458332228</v>
      </c>
      <c r="BR235">
        <f t="shared" si="104"/>
        <v>51858.140259802574</v>
      </c>
      <c r="BS235">
        <f t="shared" si="104"/>
        <v>54862.235011106837</v>
      </c>
      <c r="BT235">
        <f t="shared" si="104"/>
        <v>53703.500753514832</v>
      </c>
      <c r="BU235">
        <f t="shared" si="104"/>
        <v>54047.706036711243</v>
      </c>
      <c r="BV235">
        <f t="shared" si="104"/>
        <v>55620.777677388076</v>
      </c>
      <c r="BW235">
        <f t="shared" si="104"/>
        <v>51724.774440282956</v>
      </c>
      <c r="BX235" s="14">
        <f t="shared" si="104"/>
        <v>53323.961083777271</v>
      </c>
      <c r="CB235" s="33"/>
      <c r="CM235" s="14"/>
    </row>
    <row r="236" spans="66:91" x14ac:dyDescent="0.35">
      <c r="BN236" s="33"/>
      <c r="BX236" s="14"/>
      <c r="CB236" s="33"/>
      <c r="CM236" s="14"/>
    </row>
    <row r="237" spans="66:91" x14ac:dyDescent="0.35">
      <c r="BN237" s="33"/>
      <c r="BX237" s="14"/>
      <c r="CB237" s="33"/>
      <c r="CM237" s="14"/>
    </row>
    <row r="238" spans="66:91" x14ac:dyDescent="0.35">
      <c r="BN238" s="33"/>
      <c r="BX238" s="14"/>
      <c r="CB238" s="33"/>
      <c r="CM238" s="14"/>
    </row>
    <row r="239" spans="66:91" x14ac:dyDescent="0.35">
      <c r="BN239" s="33"/>
      <c r="BX239" s="14"/>
      <c r="CB239" s="33"/>
      <c r="CM239" s="14"/>
    </row>
    <row r="240" spans="66:91" x14ac:dyDescent="0.35">
      <c r="BN240" s="33"/>
      <c r="BX240" s="14"/>
      <c r="CB240" s="33"/>
      <c r="CM240" s="14"/>
    </row>
    <row r="241" spans="66:91" x14ac:dyDescent="0.35">
      <c r="BN241" s="33"/>
      <c r="BX241" s="14"/>
      <c r="CB241" s="33"/>
      <c r="CM241" s="14"/>
    </row>
    <row r="242" spans="66:91" x14ac:dyDescent="0.35">
      <c r="BN242" s="33"/>
      <c r="BX242" s="14"/>
      <c r="CB242" s="33"/>
      <c r="CM242" s="14"/>
    </row>
    <row r="243" spans="66:91" x14ac:dyDescent="0.35">
      <c r="BN243" s="33"/>
      <c r="BX243" s="14"/>
      <c r="CB243" s="33"/>
      <c r="CM243" s="14"/>
    </row>
    <row r="244" spans="66:91" x14ac:dyDescent="0.35">
      <c r="BN244" s="33"/>
      <c r="BX244" s="14"/>
      <c r="CB244" s="33"/>
      <c r="CM244" s="14"/>
    </row>
    <row r="245" spans="66:91" x14ac:dyDescent="0.35">
      <c r="BN245" s="33"/>
      <c r="BX245" s="14"/>
      <c r="CB245" s="33"/>
      <c r="CM245" s="14"/>
    </row>
    <row r="246" spans="66:91" x14ac:dyDescent="0.35">
      <c r="BN246" s="33"/>
      <c r="BX246" s="14"/>
      <c r="CB246" s="33"/>
      <c r="CM246" s="14"/>
    </row>
    <row r="247" spans="66:91" x14ac:dyDescent="0.35">
      <c r="BN247" s="33"/>
      <c r="BX247" s="14"/>
      <c r="CB247" s="33"/>
      <c r="CM247" s="14"/>
    </row>
    <row r="248" spans="66:91" x14ac:dyDescent="0.35">
      <c r="BN248" s="33"/>
      <c r="BX248" s="14"/>
      <c r="CB248" s="33"/>
      <c r="CM248" s="14"/>
    </row>
    <row r="249" spans="66:91" x14ac:dyDescent="0.35">
      <c r="BN249" s="33"/>
      <c r="BX249" s="14"/>
      <c r="CB249" s="33"/>
      <c r="CM249" s="14"/>
    </row>
    <row r="250" spans="66:91" x14ac:dyDescent="0.35">
      <c r="BN250" s="33"/>
      <c r="BX250" s="14"/>
      <c r="CB250" s="33"/>
      <c r="CM250" s="14"/>
    </row>
    <row r="251" spans="66:91" ht="15" thickBot="1" x14ac:dyDescent="0.4">
      <c r="BN251" s="33"/>
      <c r="BX251" s="14"/>
      <c r="CB251" s="35"/>
      <c r="CC251" s="15"/>
      <c r="CD251" s="15"/>
      <c r="CE251" s="15"/>
      <c r="CF251" s="15"/>
      <c r="CG251" s="15"/>
      <c r="CH251" s="15"/>
      <c r="CI251" s="15"/>
      <c r="CJ251" s="15"/>
      <c r="CK251" s="15"/>
      <c r="CL251" s="15"/>
      <c r="CM251" s="16"/>
    </row>
    <row r="252" spans="66:91" ht="15" thickBot="1" x14ac:dyDescent="0.4">
      <c r="BN252" s="35"/>
      <c r="BO252" s="15"/>
      <c r="BP252" s="15"/>
      <c r="BQ252" s="15"/>
      <c r="BR252" s="15"/>
      <c r="BS252" s="15"/>
      <c r="BT252" s="15"/>
      <c r="BU252" s="15"/>
      <c r="BV252" s="15"/>
      <c r="BW252" s="15"/>
      <c r="BX252" s="16"/>
    </row>
  </sheetData>
  <mergeCells count="108">
    <mergeCell ref="AN41:AN42"/>
    <mergeCell ref="CL81:CM81"/>
    <mergeCell ref="CP81:CQ81"/>
    <mergeCell ref="B43:B49"/>
    <mergeCell ref="B50:C50"/>
    <mergeCell ref="AG41:AG42"/>
    <mergeCell ref="AH41:AH42"/>
    <mergeCell ref="AI41:AI42"/>
    <mergeCell ref="AJ41:AJ42"/>
    <mergeCell ref="AK41:AK42"/>
    <mergeCell ref="AB41:AB42"/>
    <mergeCell ref="AC41:AC42"/>
    <mergeCell ref="AD41:AD42"/>
    <mergeCell ref="AE41:AE42"/>
    <mergeCell ref="AF41:AF42"/>
    <mergeCell ref="W41:W42"/>
    <mergeCell ref="X41:X42"/>
    <mergeCell ref="Y41:Y42"/>
    <mergeCell ref="Z41:Z42"/>
    <mergeCell ref="AA41:AA42"/>
    <mergeCell ref="R41:R42"/>
    <mergeCell ref="S41:S42"/>
    <mergeCell ref="T41:T42"/>
    <mergeCell ref="U41:U42"/>
    <mergeCell ref="V41:V42"/>
    <mergeCell ref="A40:B42"/>
    <mergeCell ref="C40:AM40"/>
    <mergeCell ref="D41:D42"/>
    <mergeCell ref="E41:E42"/>
    <mergeCell ref="F41:F42"/>
    <mergeCell ref="G41:G42"/>
    <mergeCell ref="H41:H42"/>
    <mergeCell ref="I41:I42"/>
    <mergeCell ref="J41:J42"/>
    <mergeCell ref="K41:K42"/>
    <mergeCell ref="L41:L42"/>
    <mergeCell ref="AL41:AL42"/>
    <mergeCell ref="AM41:AM42"/>
    <mergeCell ref="AS1:AS50"/>
    <mergeCell ref="AL2:AL3"/>
    <mergeCell ref="AM2:AM3"/>
    <mergeCell ref="AN2:AN3"/>
    <mergeCell ref="M41:M42"/>
    <mergeCell ref="N41:N42"/>
    <mergeCell ref="O41:O42"/>
    <mergeCell ref="P41:P42"/>
    <mergeCell ref="Q41:Q42"/>
    <mergeCell ref="C1:AM1"/>
    <mergeCell ref="D2:D3"/>
    <mergeCell ref="E2:E3"/>
    <mergeCell ref="F2:F3"/>
    <mergeCell ref="G2:G3"/>
    <mergeCell ref="S2:S3"/>
    <mergeCell ref="H2:H3"/>
    <mergeCell ref="I2:I3"/>
    <mergeCell ref="J2:J3"/>
    <mergeCell ref="K2:K3"/>
    <mergeCell ref="L2:L3"/>
    <mergeCell ref="M2:M3"/>
    <mergeCell ref="N2:N3"/>
    <mergeCell ref="O2:O3"/>
    <mergeCell ref="P2:P3"/>
    <mergeCell ref="B4:B18"/>
    <mergeCell ref="B19:C19"/>
    <mergeCell ref="AF2:AF3"/>
    <mergeCell ref="AG2:AG3"/>
    <mergeCell ref="AH2:AH3"/>
    <mergeCell ref="AI2:AI3"/>
    <mergeCell ref="AJ2:AJ3"/>
    <mergeCell ref="AK2:AK3"/>
    <mergeCell ref="Z2:Z3"/>
    <mergeCell ref="AA2:AA3"/>
    <mergeCell ref="AB2:AB3"/>
    <mergeCell ref="AC2:AC3"/>
    <mergeCell ref="AE2:AE3"/>
    <mergeCell ref="T2:T3"/>
    <mergeCell ref="U2:U3"/>
    <mergeCell ref="V2:V3"/>
    <mergeCell ref="W2:W3"/>
    <mergeCell ref="X2:X3"/>
    <mergeCell ref="Y2:Y3"/>
    <mergeCell ref="A1:B3"/>
    <mergeCell ref="AD2:AD3"/>
    <mergeCell ref="Q2:Q3"/>
    <mergeCell ref="R2:R3"/>
    <mergeCell ref="AV38:AW38"/>
    <mergeCell ref="AU1:AV3"/>
    <mergeCell ref="AW1:BH1"/>
    <mergeCell ref="AX2:BI2"/>
    <mergeCell ref="AV4:AV18"/>
    <mergeCell ref="AV19:AW19"/>
    <mergeCell ref="BL28:BL29"/>
    <mergeCell ref="AU28:AV30"/>
    <mergeCell ref="AW28:BH28"/>
    <mergeCell ref="AX29:BI29"/>
    <mergeCell ref="AV31:AV37"/>
    <mergeCell ref="CR146:CS146"/>
    <mergeCell ref="CO144:CP144"/>
    <mergeCell ref="EI92:EW92"/>
    <mergeCell ref="EX92:FK92"/>
    <mergeCell ref="FL92:FY92"/>
    <mergeCell ref="FZ92:GN92"/>
    <mergeCell ref="GO92:HB92"/>
    <mergeCell ref="HC92:HQ92"/>
    <mergeCell ref="HR92:ID92"/>
    <mergeCell ref="CR142:CV142"/>
    <mergeCell ref="CW142:CX142"/>
    <mergeCell ref="CZ142:DA142"/>
  </mergeCells>
  <hyperlinks>
    <hyperlink ref="BO100" r:id="rId1" xr:uid="{50DAF11A-8543-4758-BDF1-1AD9EE5F7151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7D9CA2-941E-492F-A73B-F755E8EE0E91}">
  <sheetPr>
    <tabColor theme="4"/>
  </sheetPr>
  <dimension ref="A1:CN157"/>
  <sheetViews>
    <sheetView topLeftCell="H1" zoomScale="70" zoomScaleNormal="70" workbookViewId="0">
      <selection activeCell="O5" sqref="O5"/>
    </sheetView>
  </sheetViews>
  <sheetFormatPr defaultRowHeight="15" customHeight="1" x14ac:dyDescent="0.35"/>
  <cols>
    <col min="2" max="2" width="30.54296875" customWidth="1"/>
    <col min="3" max="3" width="15.54296875" customWidth="1"/>
    <col min="4" max="4" width="14.7265625" customWidth="1"/>
    <col min="5" max="5" width="22" customWidth="1"/>
    <col min="6" max="6" width="28.81640625" customWidth="1"/>
    <col min="7" max="7" width="20.453125" customWidth="1"/>
    <col min="8" max="9" width="22.54296875" customWidth="1"/>
    <col min="10" max="10" width="30.453125" customWidth="1"/>
    <col min="11" max="11" width="21.7265625" customWidth="1"/>
    <col min="12" max="12" width="20.453125" customWidth="1"/>
    <col min="13" max="13" width="23.54296875" customWidth="1"/>
    <col min="14" max="14" width="20.453125" customWidth="1"/>
    <col min="15" max="15" width="18.81640625" customWidth="1"/>
    <col min="16" max="16" width="12.1796875" customWidth="1"/>
    <col min="17" max="17" width="18.81640625" customWidth="1"/>
    <col min="19" max="19" width="32.81640625" customWidth="1"/>
    <col min="20" max="20" width="17.1796875" customWidth="1"/>
    <col min="29" max="29" width="14.7265625" customWidth="1"/>
    <col min="30" max="30" width="16" customWidth="1"/>
    <col min="32" max="32" width="12.81640625" customWidth="1"/>
    <col min="33" max="33" width="16.7265625" bestFit="1" customWidth="1"/>
    <col min="34" max="34" width="18.81640625" bestFit="1" customWidth="1"/>
    <col min="35" max="35" width="22.1796875" bestFit="1" customWidth="1"/>
    <col min="36" max="36" width="19.81640625" bestFit="1" customWidth="1"/>
    <col min="37" max="37" width="14.54296875" customWidth="1"/>
    <col min="38" max="38" width="9.1796875" bestFit="1" customWidth="1"/>
    <col min="39" max="39" width="23.453125" bestFit="1" customWidth="1"/>
    <col min="40" max="40" width="21.1796875" bestFit="1" customWidth="1"/>
    <col min="41" max="41" width="14.453125" bestFit="1" customWidth="1"/>
    <col min="42" max="42" width="12.81640625" customWidth="1"/>
    <col min="43" max="43" width="12.453125" customWidth="1"/>
    <col min="44" max="44" width="11.453125" customWidth="1"/>
    <col min="45" max="45" width="11.81640625" bestFit="1" customWidth="1"/>
    <col min="46" max="46" width="12.453125" bestFit="1" customWidth="1"/>
    <col min="49" max="49" width="15.54296875" bestFit="1" customWidth="1"/>
    <col min="57" max="57" width="25.7265625" customWidth="1"/>
    <col min="58" max="58" width="12.81640625" customWidth="1"/>
    <col min="59" max="60" width="12.81640625" bestFit="1" customWidth="1"/>
  </cols>
  <sheetData>
    <row r="1" spans="1:60" ht="14.5" x14ac:dyDescent="0.35">
      <c r="A1" s="56" t="s">
        <v>507</v>
      </c>
      <c r="B1" s="56" t="s">
        <v>216</v>
      </c>
      <c r="C1" s="56" t="s">
        <v>217</v>
      </c>
      <c r="D1" s="56" t="s">
        <v>218</v>
      </c>
      <c r="E1" s="56" t="s">
        <v>219</v>
      </c>
      <c r="F1" s="56" t="s">
        <v>220</v>
      </c>
      <c r="G1" s="56" t="s">
        <v>221</v>
      </c>
      <c r="H1" s="56" t="s">
        <v>222</v>
      </c>
      <c r="I1" s="56" t="s">
        <v>223</v>
      </c>
      <c r="J1" s="56" t="s">
        <v>224</v>
      </c>
      <c r="K1" s="56" t="s">
        <v>225</v>
      </c>
      <c r="L1" s="56" t="s">
        <v>226</v>
      </c>
      <c r="M1" s="56" t="s">
        <v>227</v>
      </c>
      <c r="N1" s="56"/>
      <c r="O1" s="56" t="s">
        <v>228</v>
      </c>
      <c r="P1" s="56" t="s">
        <v>229</v>
      </c>
      <c r="Q1" s="56"/>
      <c r="R1" s="58" t="s">
        <v>230</v>
      </c>
    </row>
    <row r="2" spans="1:60" ht="14.5" x14ac:dyDescent="0.35">
      <c r="A2" s="56" t="s">
        <v>41</v>
      </c>
      <c r="B2" s="56">
        <f>'[1]São Miguel'!AX21</f>
        <v>8671910</v>
      </c>
      <c r="C2" s="57">
        <v>34328910</v>
      </c>
      <c r="D2" s="56">
        <f>C2-B2</f>
        <v>25657000</v>
      </c>
      <c r="E2" s="56">
        <f>'[1]São Miguel'!AX25</f>
        <v>1421319</v>
      </c>
      <c r="F2" s="56">
        <f t="shared" ref="F2:F13" si="0">(E2/$R$2)*10^-3</f>
        <v>142.1319</v>
      </c>
      <c r="G2" s="56">
        <f t="shared" ref="G2:G13" si="1">$P$3/F2</f>
        <v>251.73916200374438</v>
      </c>
      <c r="H2" s="56">
        <f>ROUNDUP(G2,0)</f>
        <v>252</v>
      </c>
      <c r="I2" s="56">
        <f t="shared" ref="I2:I13" si="2">F2*H2</f>
        <v>35817.238799999999</v>
      </c>
      <c r="J2" s="56">
        <v>18.260000000000002</v>
      </c>
      <c r="K2" s="30">
        <f>($O$3*10^3)/J2</f>
        <v>103130.70098576124</v>
      </c>
      <c r="L2" s="30">
        <f>ROUNDUP(K2,0)</f>
        <v>103131</v>
      </c>
      <c r="M2" s="30">
        <f t="shared" ref="M2:M13" si="3">J2*L2</f>
        <v>1883172.06</v>
      </c>
      <c r="N2" s="56" t="s">
        <v>231</v>
      </c>
      <c r="O2" s="56">
        <v>5</v>
      </c>
      <c r="P2" s="56">
        <v>95</v>
      </c>
      <c r="Q2" s="56"/>
      <c r="R2" s="58">
        <v>10</v>
      </c>
    </row>
    <row r="3" spans="1:60" ht="14.5" x14ac:dyDescent="0.35">
      <c r="A3" s="56" t="s">
        <v>42</v>
      </c>
      <c r="B3" s="56">
        <f>'[1]São Miguel'!AY21</f>
        <v>16710946</v>
      </c>
      <c r="C3" s="57">
        <v>32859333</v>
      </c>
      <c r="D3" s="56">
        <f t="shared" ref="D3:D13" si="4">C3-B3</f>
        <v>16148387</v>
      </c>
      <c r="E3" s="56">
        <f>'[1]São Miguel'!AY25</f>
        <v>841215</v>
      </c>
      <c r="F3" s="56">
        <f t="shared" si="0"/>
        <v>84.121499999999997</v>
      </c>
      <c r="G3" s="56">
        <f t="shared" si="1"/>
        <v>425.33912733367805</v>
      </c>
      <c r="H3" s="56">
        <f t="shared" ref="H3:H13" si="5">ROUNDUP(G3,0)</f>
        <v>426</v>
      </c>
      <c r="I3" s="56">
        <f t="shared" si="2"/>
        <v>35835.758999999998</v>
      </c>
      <c r="J3" s="56">
        <v>22.59</v>
      </c>
      <c r="K3" s="30">
        <f t="shared" ref="K3:K13" si="6">($O$3*10^3)/J3</f>
        <v>83362.841965471467</v>
      </c>
      <c r="L3" s="30">
        <f t="shared" ref="L3:L13" si="7">ROUNDUP(K3,0)</f>
        <v>83363</v>
      </c>
      <c r="M3" s="30">
        <f t="shared" si="3"/>
        <v>1883170.17</v>
      </c>
      <c r="N3" s="56" t="s">
        <v>232</v>
      </c>
      <c r="O3" s="56">
        <f>$D$7*(O2/100)*10^-3</f>
        <v>1883.1666000000002</v>
      </c>
      <c r="P3" s="56">
        <f>$D$7*(P2/100)*10^-3</f>
        <v>35780.165399999998</v>
      </c>
      <c r="Q3" s="56"/>
      <c r="R3" t="s">
        <v>233</v>
      </c>
      <c r="S3" t="s">
        <v>234</v>
      </c>
      <c r="AP3" t="s">
        <v>235</v>
      </c>
      <c r="AQ3" t="s">
        <v>236</v>
      </c>
      <c r="BE3" s="181" t="s">
        <v>237</v>
      </c>
      <c r="BF3" s="182"/>
      <c r="BG3" s="182"/>
      <c r="BH3" s="183"/>
    </row>
    <row r="4" spans="1:60" ht="14.5" x14ac:dyDescent="0.35">
      <c r="A4" s="56" t="s">
        <v>43</v>
      </c>
      <c r="B4" s="56">
        <f>'[1]São Miguel'!AZ21</f>
        <v>19702134</v>
      </c>
      <c r="C4" s="57">
        <v>35438418</v>
      </c>
      <c r="D4" s="56">
        <f t="shared" si="4"/>
        <v>15736284</v>
      </c>
      <c r="E4" s="56">
        <f>'[1]São Miguel'!AZ25</f>
        <v>1798380</v>
      </c>
      <c r="F4" s="56">
        <f t="shared" si="0"/>
        <v>179.83799999999999</v>
      </c>
      <c r="G4" s="56">
        <f t="shared" si="1"/>
        <v>198.95775864945116</v>
      </c>
      <c r="H4" s="56">
        <f t="shared" si="5"/>
        <v>199</v>
      </c>
      <c r="I4" s="56">
        <f t="shared" si="2"/>
        <v>35787.761999999995</v>
      </c>
      <c r="J4" s="56">
        <v>31.18</v>
      </c>
      <c r="K4" s="30">
        <f t="shared" si="6"/>
        <v>60396.619627966655</v>
      </c>
      <c r="L4" s="30">
        <f t="shared" si="7"/>
        <v>60397</v>
      </c>
      <c r="M4" s="30">
        <f t="shared" si="3"/>
        <v>1883178.46</v>
      </c>
      <c r="AH4" t="s">
        <v>238</v>
      </c>
      <c r="BE4" s="101" t="s">
        <v>239</v>
      </c>
      <c r="BF4">
        <v>524440.6</v>
      </c>
      <c r="BG4" t="s">
        <v>176</v>
      </c>
      <c r="BH4" s="14"/>
    </row>
    <row r="5" spans="1:60" thickBot="1" x14ac:dyDescent="0.4">
      <c r="A5" s="56" t="s">
        <v>44</v>
      </c>
      <c r="B5" s="56">
        <f>'[1]São Miguel'!BA21</f>
        <v>19185884</v>
      </c>
      <c r="C5" s="57">
        <v>33848861</v>
      </c>
      <c r="D5" s="56">
        <f t="shared" si="4"/>
        <v>14662977</v>
      </c>
      <c r="E5" s="56">
        <f>'[1]São Miguel'!BA25</f>
        <v>1587546</v>
      </c>
      <c r="F5" s="56">
        <f t="shared" si="0"/>
        <v>158.75460000000001</v>
      </c>
      <c r="G5" s="56">
        <f>$P$3/F5</f>
        <v>225.38033795556157</v>
      </c>
      <c r="H5" s="56">
        <f t="shared" si="5"/>
        <v>226</v>
      </c>
      <c r="I5" s="56">
        <f t="shared" si="2"/>
        <v>35878.539600000004</v>
      </c>
      <c r="J5" s="56">
        <v>32.729999999999997</v>
      </c>
      <c r="K5" s="30">
        <f t="shared" si="6"/>
        <v>57536.406966086171</v>
      </c>
      <c r="L5" s="30">
        <f t="shared" si="7"/>
        <v>57537</v>
      </c>
      <c r="M5" s="30">
        <f t="shared" si="3"/>
        <v>1883186.0099999998</v>
      </c>
      <c r="BE5" s="95"/>
      <c r="BF5" s="104" t="s">
        <v>210</v>
      </c>
      <c r="BG5" s="104" t="s">
        <v>211</v>
      </c>
      <c r="BH5" s="105" t="s">
        <v>212</v>
      </c>
    </row>
    <row r="6" spans="1:60" ht="14.5" x14ac:dyDescent="0.35">
      <c r="A6" s="56" t="s">
        <v>45</v>
      </c>
      <c r="B6" s="56">
        <f>'[1]São Miguel'!BB21</f>
        <v>17557252</v>
      </c>
      <c r="C6" s="57">
        <v>16104756</v>
      </c>
      <c r="D6" s="56">
        <f t="shared" si="4"/>
        <v>-1452496</v>
      </c>
      <c r="E6" s="56">
        <f>'[1]São Miguel'!BB25</f>
        <v>992737</v>
      </c>
      <c r="F6" s="56">
        <f t="shared" si="0"/>
        <v>99.273700000000005</v>
      </c>
      <c r="G6" s="56">
        <f t="shared" si="1"/>
        <v>360.41937995662494</v>
      </c>
      <c r="H6" s="56">
        <f t="shared" si="5"/>
        <v>361</v>
      </c>
      <c r="I6" s="56">
        <f t="shared" si="2"/>
        <v>35837.805700000004</v>
      </c>
      <c r="J6" s="56">
        <v>37.659999999999997</v>
      </c>
      <c r="K6" s="30">
        <f t="shared" si="6"/>
        <v>50004.423791821573</v>
      </c>
      <c r="L6" s="30">
        <f t="shared" si="7"/>
        <v>50005</v>
      </c>
      <c r="M6" s="30">
        <f t="shared" si="3"/>
        <v>1883188.2999999998</v>
      </c>
      <c r="AC6" s="101" t="s">
        <v>240</v>
      </c>
      <c r="AD6" s="101" t="s">
        <v>241</v>
      </c>
      <c r="AI6" t="s">
        <v>242</v>
      </c>
      <c r="AP6" s="181" t="s">
        <v>243</v>
      </c>
      <c r="AQ6" s="182"/>
      <c r="AR6" s="182"/>
      <c r="AS6" s="32"/>
      <c r="AT6" s="32"/>
      <c r="AU6" s="3"/>
      <c r="BE6" s="33" t="s">
        <v>244</v>
      </c>
      <c r="BF6" s="101">
        <v>190015</v>
      </c>
      <c r="BG6" s="101">
        <v>204860</v>
      </c>
      <c r="BH6" s="106">
        <v>409719</v>
      </c>
    </row>
    <row r="7" spans="1:60" ht="15.75" customHeight="1" x14ac:dyDescent="0.35">
      <c r="A7" s="56" t="s">
        <v>46</v>
      </c>
      <c r="B7" s="56">
        <f>'[1]São Miguel'!BC21</f>
        <v>15986398</v>
      </c>
      <c r="C7" s="57">
        <v>53649730</v>
      </c>
      <c r="D7" s="126">
        <f>C7-B7</f>
        <v>37663332</v>
      </c>
      <c r="E7" s="56">
        <f>'[1]São Miguel'!BC25</f>
        <v>1171682</v>
      </c>
      <c r="F7" s="56">
        <f t="shared" si="0"/>
        <v>117.1682</v>
      </c>
      <c r="G7" s="56">
        <f t="shared" si="1"/>
        <v>305.37437120310801</v>
      </c>
      <c r="H7" s="56">
        <f t="shared" si="5"/>
        <v>306</v>
      </c>
      <c r="I7" s="56">
        <f t="shared" si="2"/>
        <v>35853.4692</v>
      </c>
      <c r="J7" s="56">
        <v>36.44</v>
      </c>
      <c r="K7" s="30">
        <f t="shared" si="6"/>
        <v>51678.556531284317</v>
      </c>
      <c r="L7" s="30">
        <f t="shared" si="7"/>
        <v>51679</v>
      </c>
      <c r="M7" s="30">
        <f t="shared" si="3"/>
        <v>1883182.7599999998</v>
      </c>
      <c r="AC7" s="101">
        <v>10000</v>
      </c>
      <c r="AD7" s="101">
        <v>183</v>
      </c>
      <c r="AG7" t="s">
        <v>245</v>
      </c>
      <c r="AH7" t="s">
        <v>246</v>
      </c>
      <c r="AI7" t="s">
        <v>247</v>
      </c>
      <c r="AJ7" t="s">
        <v>248</v>
      </c>
      <c r="AK7" t="s">
        <v>181</v>
      </c>
      <c r="AL7" t="s">
        <v>204</v>
      </c>
      <c r="AM7" t="s">
        <v>249</v>
      </c>
      <c r="AN7" t="s">
        <v>250</v>
      </c>
      <c r="AO7" t="s">
        <v>251</v>
      </c>
      <c r="AP7" s="33" t="s">
        <v>235</v>
      </c>
      <c r="AQ7" t="s">
        <v>252</v>
      </c>
      <c r="AR7" t="s">
        <v>253</v>
      </c>
      <c r="AS7" t="s">
        <v>254</v>
      </c>
      <c r="AT7" t="s">
        <v>255</v>
      </c>
      <c r="AU7" s="14" t="s">
        <v>256</v>
      </c>
      <c r="AW7" t="s">
        <v>257</v>
      </c>
      <c r="BE7" s="107" t="s">
        <v>258</v>
      </c>
      <c r="BF7" s="104">
        <v>4767.6420239846248</v>
      </c>
      <c r="BG7" s="94" t="s">
        <v>259</v>
      </c>
      <c r="BH7" s="14"/>
    </row>
    <row r="8" spans="1:60" ht="14.5" customHeight="1" x14ac:dyDescent="0.35">
      <c r="A8" s="56" t="s">
        <v>47</v>
      </c>
      <c r="B8" s="56">
        <f>'[1]São Miguel'!BD21</f>
        <v>16963695</v>
      </c>
      <c r="C8" s="57">
        <v>36644135</v>
      </c>
      <c r="D8" s="56">
        <f t="shared" si="4"/>
        <v>19680440</v>
      </c>
      <c r="E8" s="56">
        <f>'[1]São Miguel'!BD25</f>
        <v>1390251</v>
      </c>
      <c r="F8" s="56">
        <f t="shared" si="0"/>
        <v>139.02510000000001</v>
      </c>
      <c r="G8" s="56">
        <f t="shared" si="1"/>
        <v>257.3647880850292</v>
      </c>
      <c r="H8" s="56">
        <f t="shared" si="5"/>
        <v>258</v>
      </c>
      <c r="I8" s="56">
        <f t="shared" si="2"/>
        <v>35868.4758</v>
      </c>
      <c r="J8" s="56">
        <v>38.92</v>
      </c>
      <c r="K8" s="30">
        <f t="shared" si="6"/>
        <v>48385.575539568352</v>
      </c>
      <c r="L8" s="30">
        <f t="shared" si="7"/>
        <v>48386</v>
      </c>
      <c r="M8" s="30">
        <f t="shared" si="3"/>
        <v>1883183.12</v>
      </c>
      <c r="AF8" t="s">
        <v>260</v>
      </c>
      <c r="AG8">
        <f t="shared" ref="AG8:AG19" si="8">J2*$AC$7</f>
        <v>182600.00000000003</v>
      </c>
      <c r="AH8">
        <f t="shared" ref="AH8:AH19" si="9">(F2*10^3)*$AD$7</f>
        <v>26010137.699999999</v>
      </c>
      <c r="AI8">
        <f>'São Miguel'!AX$21</f>
        <v>8671910</v>
      </c>
      <c r="AJ8">
        <v>0</v>
      </c>
      <c r="AK8">
        <f t="shared" ref="AK8:AK19" si="10">C2</f>
        <v>34328910</v>
      </c>
      <c r="AL8">
        <f t="shared" ref="AL8:AL19" si="11">AG8+AH8+AI8-AK8</f>
        <v>535737.70000000298</v>
      </c>
      <c r="AM8">
        <f t="shared" ref="AM8:AM19" si="12">AJ8+AL8</f>
        <v>535737.70000000298</v>
      </c>
      <c r="AN8">
        <f t="shared" ref="AN8:AN19" si="13">IF(AM8&lt;0,0,AM8)</f>
        <v>535737.70000000298</v>
      </c>
      <c r="AO8">
        <f t="shared" ref="AO8:AO19" si="14">IF(AG8+AH8+AI8+AJ8-AK8&gt;0,0,AG8+AH8+AI8+AJ8-AK8)</f>
        <v>0</v>
      </c>
      <c r="AP8" s="91">
        <f>ROUND((-AW8/Batteries!$B$2)*5,0)</f>
        <v>58409</v>
      </c>
      <c r="AQ8" s="92">
        <f>ROUND((-AW8/Batteries!$B$14),0)</f>
        <v>62972</v>
      </c>
      <c r="AR8" s="92">
        <f>ROUND((-AW8/Batteries!$B$26),0)</f>
        <v>125944</v>
      </c>
      <c r="AS8">
        <f>-AW8/Batteries!$I$4</f>
        <v>1465.5308680764724</v>
      </c>
      <c r="AT8">
        <f>-AW8/Batteries!$I$11</f>
        <v>1333.6233908703837</v>
      </c>
      <c r="AU8" s="14">
        <f>-AW8/Batteries!$I$23</f>
        <v>37490.324532188832</v>
      </c>
      <c r="AW8">
        <f>AN57</f>
        <v>-161208.39548841197</v>
      </c>
      <c r="BE8" s="108" t="s">
        <v>261</v>
      </c>
      <c r="BF8" s="109">
        <v>121962.9</v>
      </c>
      <c r="BG8" s="27" t="s">
        <v>262</v>
      </c>
      <c r="BH8" s="14"/>
    </row>
    <row r="9" spans="1:60" ht="14.5" x14ac:dyDescent="0.35">
      <c r="A9" s="56" t="s">
        <v>48</v>
      </c>
      <c r="B9" s="56">
        <f>'[1]São Miguel'!BE21</f>
        <v>17697885</v>
      </c>
      <c r="C9" s="57">
        <v>38225662</v>
      </c>
      <c r="D9" s="56">
        <f t="shared" si="4"/>
        <v>20527777</v>
      </c>
      <c r="E9" s="56">
        <f>'[1]São Miguel'!BE25</f>
        <v>743937</v>
      </c>
      <c r="F9" s="56">
        <f t="shared" si="0"/>
        <v>74.393699999999995</v>
      </c>
      <c r="G9" s="56">
        <f t="shared" si="1"/>
        <v>480.95692780437054</v>
      </c>
      <c r="H9" s="148">
        <f t="shared" si="5"/>
        <v>481</v>
      </c>
      <c r="I9" s="56">
        <f t="shared" si="2"/>
        <v>35783.369699999996</v>
      </c>
      <c r="J9" s="56">
        <v>40.270000000000003</v>
      </c>
      <c r="K9" s="30">
        <f t="shared" si="6"/>
        <v>46763.511298733552</v>
      </c>
      <c r="L9" s="30">
        <f t="shared" si="7"/>
        <v>46764</v>
      </c>
      <c r="M9" s="30">
        <f t="shared" si="3"/>
        <v>1883186.2800000003</v>
      </c>
      <c r="AC9" t="s">
        <v>263</v>
      </c>
      <c r="AD9">
        <f>LARGE(AP8:AP19,1)</f>
        <v>190015</v>
      </c>
      <c r="AF9" t="s">
        <v>264</v>
      </c>
      <c r="AG9">
        <f t="shared" si="8"/>
        <v>225900</v>
      </c>
      <c r="AH9">
        <f t="shared" si="9"/>
        <v>15394234.5</v>
      </c>
      <c r="AI9">
        <f>'São Miguel'!AY$21</f>
        <v>16710946</v>
      </c>
      <c r="AJ9">
        <f t="shared" ref="AJ9:AJ19" si="15">AN8</f>
        <v>535737.70000000298</v>
      </c>
      <c r="AK9">
        <f t="shared" si="10"/>
        <v>32859333</v>
      </c>
      <c r="AL9">
        <f t="shared" si="11"/>
        <v>-528252.5</v>
      </c>
      <c r="AM9">
        <f t="shared" si="12"/>
        <v>7485.2000000029802</v>
      </c>
      <c r="AN9">
        <f t="shared" si="13"/>
        <v>7485.2000000029802</v>
      </c>
      <c r="AO9">
        <f t="shared" si="14"/>
        <v>0</v>
      </c>
      <c r="AP9" s="33">
        <f>ROUND((-AW9/Batteries!$B$2)*5,0)</f>
        <v>36841</v>
      </c>
      <c r="AQ9">
        <f>ROUND((-AW9/Batteries!$B$14),0)</f>
        <v>39720</v>
      </c>
      <c r="AR9">
        <f>ROUND((-AW9/Batteries!$B$26),0)</f>
        <v>79439</v>
      </c>
      <c r="AS9">
        <f>-AW9/Batteries!$I$4</f>
        <v>924.38206619567848</v>
      </c>
      <c r="AT9">
        <f>-AW9/Batteries!$I$11</f>
        <v>841.18156255397616</v>
      </c>
      <c r="AU9" s="14">
        <f>-AW9/Batteries!$I$23</f>
        <v>23646.983088726658</v>
      </c>
      <c r="AW9">
        <f>BA55</f>
        <v>-101682.02728152463</v>
      </c>
      <c r="BE9" s="184" t="s">
        <v>265</v>
      </c>
      <c r="BF9" s="90" t="s">
        <v>210</v>
      </c>
      <c r="BG9" s="90" t="s">
        <v>266</v>
      </c>
      <c r="BH9" s="102" t="s">
        <v>261</v>
      </c>
    </row>
    <row r="10" spans="1:60" ht="14.5" x14ac:dyDescent="0.35">
      <c r="A10" s="56" t="s">
        <v>49</v>
      </c>
      <c r="B10" s="56">
        <f>'[1]São Miguel'!BF21</f>
        <v>16093436</v>
      </c>
      <c r="C10" s="57">
        <v>38863032</v>
      </c>
      <c r="D10" s="56">
        <f t="shared" si="4"/>
        <v>22769596</v>
      </c>
      <c r="E10" s="56">
        <f>'[1]São Miguel'!BF25</f>
        <v>1131514</v>
      </c>
      <c r="F10" s="56">
        <f t="shared" si="0"/>
        <v>113.1514</v>
      </c>
      <c r="G10" s="56">
        <f t="shared" si="1"/>
        <v>316.21495977955198</v>
      </c>
      <c r="H10" s="56">
        <f t="shared" si="5"/>
        <v>317</v>
      </c>
      <c r="I10" s="56">
        <f t="shared" si="2"/>
        <v>35868.993799999997</v>
      </c>
      <c r="J10" s="56">
        <v>32.86</v>
      </c>
      <c r="K10" s="30">
        <f t="shared" si="6"/>
        <v>57308.782714546571</v>
      </c>
      <c r="L10" s="30">
        <f t="shared" si="7"/>
        <v>57309</v>
      </c>
      <c r="M10" s="30">
        <f t="shared" si="3"/>
        <v>1883173.74</v>
      </c>
      <c r="AC10" t="s">
        <v>267</v>
      </c>
      <c r="AD10">
        <f>LARGE(AQ9:AQ19,1)</f>
        <v>204860</v>
      </c>
      <c r="AF10" t="s">
        <v>268</v>
      </c>
      <c r="AG10">
        <f t="shared" si="8"/>
        <v>311800</v>
      </c>
      <c r="AH10">
        <f t="shared" si="9"/>
        <v>32910354</v>
      </c>
      <c r="AI10">
        <f>'São Miguel'!AZ$21</f>
        <v>19702134</v>
      </c>
      <c r="AJ10">
        <f t="shared" si="15"/>
        <v>7485.2000000029802</v>
      </c>
      <c r="AK10">
        <f t="shared" si="10"/>
        <v>35438418</v>
      </c>
      <c r="AL10">
        <f t="shared" si="11"/>
        <v>17485870</v>
      </c>
      <c r="AM10">
        <f t="shared" si="12"/>
        <v>17493355.200000003</v>
      </c>
      <c r="AN10">
        <f t="shared" si="13"/>
        <v>17493355.200000003</v>
      </c>
      <c r="AO10">
        <f t="shared" si="14"/>
        <v>0</v>
      </c>
      <c r="AP10" s="33">
        <f>ROUND((-AW10/Batteries!$B$2)*5,0)</f>
        <v>2962</v>
      </c>
      <c r="AQ10">
        <f>ROUND((-AW10/Batteries!$B$14),0)</f>
        <v>3194</v>
      </c>
      <c r="AR10">
        <f>ROUND((-AW10/Batteries!$B$26),0)</f>
        <v>6388</v>
      </c>
      <c r="AS10">
        <f>-AW10/Batteries!$I$4</f>
        <v>74.329178462461144</v>
      </c>
      <c r="AT10">
        <f>-AW10/Batteries!$I$11</f>
        <v>67.639060480399792</v>
      </c>
      <c r="AU10" s="14">
        <f>-AW10/Batteries!$I$23</f>
        <v>1901.4441002024944</v>
      </c>
      <c r="AW10">
        <f>BO55</f>
        <v>-8176.209630870726</v>
      </c>
      <c r="BE10" s="184"/>
      <c r="BF10" s="90">
        <f>ROUND(-AZ13/Batteries!B2,0)</f>
        <v>12668</v>
      </c>
      <c r="BG10" s="90">
        <f>ROUND(-AZ13/Batteries!I4,0)</f>
        <v>1589</v>
      </c>
      <c r="BH10" s="103">
        <f>ROUND(-AZ13/Batteries!I23,0)</f>
        <v>40654</v>
      </c>
    </row>
    <row r="11" spans="1:60" ht="14.5" x14ac:dyDescent="0.35">
      <c r="A11" s="56" t="s">
        <v>50</v>
      </c>
      <c r="B11" s="56">
        <f>'[1]São Miguel'!BG21</f>
        <v>17330720</v>
      </c>
      <c r="C11" s="57">
        <v>37224817</v>
      </c>
      <c r="D11" s="56">
        <f t="shared" si="4"/>
        <v>19894097</v>
      </c>
      <c r="E11" s="56">
        <f>'[1]São Miguel'!BG25</f>
        <v>1875007</v>
      </c>
      <c r="F11" s="56">
        <f t="shared" si="0"/>
        <v>187.50070000000002</v>
      </c>
      <c r="G11" s="56">
        <f t="shared" si="1"/>
        <v>190.82683637981083</v>
      </c>
      <c r="H11" s="56">
        <f t="shared" si="5"/>
        <v>191</v>
      </c>
      <c r="I11" s="56">
        <f t="shared" si="2"/>
        <v>35812.633700000006</v>
      </c>
      <c r="J11" s="56">
        <v>25.91</v>
      </c>
      <c r="K11" s="30">
        <f t="shared" si="6"/>
        <v>72681.07294480897</v>
      </c>
      <c r="L11" s="30">
        <f t="shared" si="7"/>
        <v>72682</v>
      </c>
      <c r="M11" s="30">
        <f t="shared" si="3"/>
        <v>1883190.62</v>
      </c>
      <c r="AC11" t="s">
        <v>269</v>
      </c>
      <c r="AD11">
        <f>LARGE(AR8:AR19,1)</f>
        <v>409719</v>
      </c>
      <c r="AF11" t="s">
        <v>270</v>
      </c>
      <c r="AG11">
        <f t="shared" si="8"/>
        <v>327299.99999999994</v>
      </c>
      <c r="AH11">
        <f t="shared" si="9"/>
        <v>29052091.800000001</v>
      </c>
      <c r="AI11">
        <f>'São Miguel'!BA$21</f>
        <v>19185884</v>
      </c>
      <c r="AJ11">
        <f t="shared" si="15"/>
        <v>17493355.200000003</v>
      </c>
      <c r="AK11">
        <f t="shared" si="10"/>
        <v>33848861</v>
      </c>
      <c r="AL11">
        <f t="shared" si="11"/>
        <v>14716414.799999997</v>
      </c>
      <c r="AM11">
        <f t="shared" si="12"/>
        <v>32209770</v>
      </c>
      <c r="AN11">
        <f t="shared" si="13"/>
        <v>32209770</v>
      </c>
      <c r="AO11">
        <f t="shared" si="14"/>
        <v>0</v>
      </c>
      <c r="AP11" s="33">
        <f>ROUND((-AW11/Batteries!$B$2)*5,0)</f>
        <v>0</v>
      </c>
      <c r="AQ11">
        <f>ROUND((-AW11/Batteries!$B$14),0)</f>
        <v>0</v>
      </c>
      <c r="AR11">
        <f>ROUND((-AW11/Batteries!$B$26),0)</f>
        <v>0</v>
      </c>
      <c r="AS11">
        <f>-AW11/Batteries!$I$4</f>
        <v>0</v>
      </c>
      <c r="AT11">
        <f>-AW11/Batteries!$I$11</f>
        <v>0</v>
      </c>
      <c r="AU11" s="14">
        <f>-AW11/Batteries!$I$23</f>
        <v>0</v>
      </c>
      <c r="AW11">
        <f>CC55</f>
        <v>0</v>
      </c>
      <c r="BE11" s="35"/>
      <c r="BF11" s="15" t="s">
        <v>271</v>
      </c>
      <c r="BG11" s="15" t="s">
        <v>259</v>
      </c>
      <c r="BH11" s="16" t="s">
        <v>262</v>
      </c>
    </row>
    <row r="12" spans="1:60" ht="14.5" x14ac:dyDescent="0.35">
      <c r="A12" s="56" t="s">
        <v>51</v>
      </c>
      <c r="B12" s="56">
        <f>'[1]São Miguel'!BH21</f>
        <v>16071911</v>
      </c>
      <c r="C12" s="57">
        <v>34612341</v>
      </c>
      <c r="D12" s="56">
        <f t="shared" si="4"/>
        <v>18540430</v>
      </c>
      <c r="E12" s="56">
        <f>'[1]São Miguel'!BH25</f>
        <v>1524237</v>
      </c>
      <c r="F12" s="56">
        <f t="shared" si="0"/>
        <v>152.42370000000003</v>
      </c>
      <c r="G12" s="56">
        <f t="shared" si="1"/>
        <v>234.74148311581462</v>
      </c>
      <c r="H12" s="56">
        <f t="shared" si="5"/>
        <v>235</v>
      </c>
      <c r="I12" s="56">
        <f t="shared" si="2"/>
        <v>35819.569500000005</v>
      </c>
      <c r="J12" s="56">
        <v>19.239999999999998</v>
      </c>
      <c r="K12" s="30">
        <f t="shared" si="6"/>
        <v>97877.681912681932</v>
      </c>
      <c r="L12" s="30">
        <f t="shared" si="7"/>
        <v>97878</v>
      </c>
      <c r="M12" s="30">
        <f t="shared" si="3"/>
        <v>1883172.7199999997</v>
      </c>
      <c r="AF12" t="s">
        <v>272</v>
      </c>
      <c r="AG12">
        <f t="shared" si="8"/>
        <v>376599.99999999994</v>
      </c>
      <c r="AH12">
        <f t="shared" si="9"/>
        <v>18167087.100000001</v>
      </c>
      <c r="AI12">
        <f>'São Miguel'!BB$21</f>
        <v>17557252</v>
      </c>
      <c r="AJ12">
        <f t="shared" si="15"/>
        <v>32209770</v>
      </c>
      <c r="AK12">
        <f t="shared" si="10"/>
        <v>16104756</v>
      </c>
      <c r="AL12">
        <f t="shared" si="11"/>
        <v>19996183.100000001</v>
      </c>
      <c r="AM12">
        <f t="shared" si="12"/>
        <v>52205953.100000001</v>
      </c>
      <c r="AN12">
        <f t="shared" si="13"/>
        <v>52205953.100000001</v>
      </c>
      <c r="AO12">
        <f t="shared" si="14"/>
        <v>0</v>
      </c>
      <c r="AP12" s="33">
        <f>ROUND((-AW12/Batteries!$B$2)*5,0)</f>
        <v>0</v>
      </c>
      <c r="AQ12">
        <f>ROUND((-AW12/Batteries!$B$14),0)</f>
        <v>0</v>
      </c>
      <c r="AR12">
        <f>ROUND((-AW12/Batteries!$B$26),0)</f>
        <v>0</v>
      </c>
      <c r="AS12">
        <f>-AW12/Batteries!$I$4</f>
        <v>0</v>
      </c>
      <c r="AT12">
        <f>-AW12/Batteries!$I$11</f>
        <v>0</v>
      </c>
      <c r="AU12" s="14">
        <f>-AW12/Batteries!$I$23</f>
        <v>0</v>
      </c>
      <c r="AW12">
        <f>AN104</f>
        <v>0</v>
      </c>
    </row>
    <row r="13" spans="1:60" ht="14.5" x14ac:dyDescent="0.35">
      <c r="A13" s="56" t="s">
        <v>52</v>
      </c>
      <c r="B13" s="56">
        <f>'[1]São Miguel'!BI21</f>
        <v>16751495</v>
      </c>
      <c r="C13" s="57">
        <v>32646974</v>
      </c>
      <c r="D13" s="56">
        <f t="shared" si="4"/>
        <v>15895479</v>
      </c>
      <c r="E13" s="56">
        <f>'[1]São Miguel'!BI25</f>
        <v>2158945</v>
      </c>
      <c r="F13" s="56">
        <f t="shared" si="0"/>
        <v>215.89449999999999</v>
      </c>
      <c r="G13" s="56">
        <f t="shared" si="1"/>
        <v>165.7298606495302</v>
      </c>
      <c r="H13" s="56">
        <f t="shared" si="5"/>
        <v>166</v>
      </c>
      <c r="I13" s="56">
        <f t="shared" si="2"/>
        <v>35838.487000000001</v>
      </c>
      <c r="J13" s="56">
        <v>16.71</v>
      </c>
      <c r="K13" s="30">
        <f t="shared" si="6"/>
        <v>112696.98384201078</v>
      </c>
      <c r="L13" s="149">
        <f t="shared" si="7"/>
        <v>112697</v>
      </c>
      <c r="M13" s="30">
        <f t="shared" si="3"/>
        <v>1883166.87</v>
      </c>
      <c r="AF13" t="s">
        <v>273</v>
      </c>
      <c r="AG13">
        <f t="shared" si="8"/>
        <v>364400</v>
      </c>
      <c r="AH13">
        <f t="shared" si="9"/>
        <v>21441780.599999998</v>
      </c>
      <c r="AI13">
        <f>'São Miguel'!BC$21</f>
        <v>15986398</v>
      </c>
      <c r="AJ13">
        <f t="shared" si="15"/>
        <v>52205953.100000001</v>
      </c>
      <c r="AK13">
        <f t="shared" si="10"/>
        <v>53649730</v>
      </c>
      <c r="AL13">
        <f t="shared" si="11"/>
        <v>-15857151.400000006</v>
      </c>
      <c r="AM13">
        <f t="shared" si="12"/>
        <v>36348801.699999996</v>
      </c>
      <c r="AN13">
        <f t="shared" si="13"/>
        <v>36348801.699999996</v>
      </c>
      <c r="AO13">
        <f t="shared" si="14"/>
        <v>0</v>
      </c>
      <c r="AP13" s="93">
        <f>ROUND((-AW13/Batteries!$B$2)*5,0)</f>
        <v>190015</v>
      </c>
      <c r="AQ13" s="90">
        <f>ROUND((-AW13/Batteries!$B$14),0)</f>
        <v>204860</v>
      </c>
      <c r="AR13" s="90">
        <f>ROUND((-AW13/Batteries!$B$26),0)</f>
        <v>409719</v>
      </c>
      <c r="AS13">
        <f>-AW13/Batteries!$I$4</f>
        <v>4767.6420239846248</v>
      </c>
      <c r="AT13">
        <f>-AW13/Batteries!$I$11</f>
        <v>4338.5226889337255</v>
      </c>
      <c r="AU13" s="14">
        <f>-AW13/Batteries!$I$23</f>
        <v>121962.9354972811</v>
      </c>
      <c r="AW13">
        <f>BA105</f>
        <v>-524440.62263830868</v>
      </c>
      <c r="AZ13">
        <f>AW13/3</f>
        <v>-174813.54087943622</v>
      </c>
      <c r="BE13" s="31" t="s">
        <v>274</v>
      </c>
      <c r="BF13" s="32"/>
      <c r="BG13" s="3"/>
    </row>
    <row r="14" spans="1:60" ht="14.5" x14ac:dyDescent="0.35">
      <c r="AF14" t="s">
        <v>275</v>
      </c>
      <c r="AG14">
        <f t="shared" si="8"/>
        <v>389200</v>
      </c>
      <c r="AH14">
        <f t="shared" si="9"/>
        <v>25441593.300000001</v>
      </c>
      <c r="AI14">
        <f>'São Miguel'!BD$21</f>
        <v>16963695</v>
      </c>
      <c r="AJ14">
        <f t="shared" si="15"/>
        <v>36348801.699999996</v>
      </c>
      <c r="AK14">
        <f t="shared" si="10"/>
        <v>36644135</v>
      </c>
      <c r="AL14">
        <f t="shared" si="11"/>
        <v>6150353.299999997</v>
      </c>
      <c r="AM14">
        <f t="shared" si="12"/>
        <v>42499154.999999993</v>
      </c>
      <c r="AN14">
        <f t="shared" si="13"/>
        <v>42499154.999999993</v>
      </c>
      <c r="AO14">
        <f t="shared" si="14"/>
        <v>0</v>
      </c>
      <c r="AP14" s="33">
        <f>ROUND((-AW14/Batteries!$B$2)*5,0)</f>
        <v>7249</v>
      </c>
      <c r="AQ14">
        <f>ROUND((-AW14/Batteries!$B$14),0)</f>
        <v>7815</v>
      </c>
      <c r="AR14">
        <f>ROUND((-AW14/Batteries!$B$26),0)</f>
        <v>15631</v>
      </c>
      <c r="AS14">
        <f>-AW14/Batteries!$I$4</f>
        <v>181.8834235380954</v>
      </c>
      <c r="AT14">
        <f>-AW14/Batteries!$I$11</f>
        <v>165.51271169085453</v>
      </c>
      <c r="AU14" s="14">
        <f>-AW14/Batteries!$I$23</f>
        <v>4652.8317649280225</v>
      </c>
      <c r="AW14">
        <f>BN100</f>
        <v>-20007.176589190494</v>
      </c>
      <c r="AY14" t="s">
        <v>276</v>
      </c>
      <c r="AZ14" t="s">
        <v>277</v>
      </c>
      <c r="BA14" t="s">
        <v>278</v>
      </c>
      <c r="BE14" s="33" t="s">
        <v>279</v>
      </c>
      <c r="BF14" t="s">
        <v>280</v>
      </c>
      <c r="BG14" s="14"/>
    </row>
    <row r="15" spans="1:60" ht="14.5" x14ac:dyDescent="0.35">
      <c r="K15" s="30">
        <f>MAX(K2:K13)</f>
        <v>112696.98384201078</v>
      </c>
      <c r="L15" s="30"/>
      <c r="M15" s="30"/>
      <c r="AF15" t="s">
        <v>281</v>
      </c>
      <c r="AG15">
        <f t="shared" si="8"/>
        <v>402700.00000000006</v>
      </c>
      <c r="AH15">
        <f t="shared" si="9"/>
        <v>13614047.1</v>
      </c>
      <c r="AI15">
        <f>'São Miguel'!BE$21</f>
        <v>17697885</v>
      </c>
      <c r="AJ15">
        <f t="shared" si="15"/>
        <v>42499154.999999993</v>
      </c>
      <c r="AK15">
        <f t="shared" si="10"/>
        <v>38225662</v>
      </c>
      <c r="AL15">
        <f t="shared" si="11"/>
        <v>-6511029.8999999985</v>
      </c>
      <c r="AM15">
        <f t="shared" si="12"/>
        <v>35988125.099999994</v>
      </c>
      <c r="AN15">
        <f t="shared" si="13"/>
        <v>35988125.099999994</v>
      </c>
      <c r="AO15">
        <f t="shared" si="14"/>
        <v>0</v>
      </c>
      <c r="AP15" s="93">
        <f>ROUND((-AW15/Batteries!$B$2)*5,0)</f>
        <v>77351</v>
      </c>
      <c r="AQ15" s="90">
        <f>ROUND((-AW15/Batteries!$B$14),0)</f>
        <v>83394</v>
      </c>
      <c r="AR15" s="90">
        <f>ROUND((-AW15/Batteries!$B$26),0)</f>
        <v>166789</v>
      </c>
      <c r="AS15">
        <f>-AW15/Batteries!$I$4</f>
        <v>1940.8167080944543</v>
      </c>
      <c r="AT15">
        <f>-AW15/Batteries!$I$11</f>
        <v>1766.1303597815186</v>
      </c>
      <c r="AU15" s="14">
        <f>-AW15/Batteries!$I$23</f>
        <v>49648.799509393015</v>
      </c>
      <c r="AW15">
        <f>CA100</f>
        <v>-213489.83789038996</v>
      </c>
      <c r="BE15" s="35" t="s">
        <v>282</v>
      </c>
      <c r="BF15" s="15" t="s">
        <v>283</v>
      </c>
      <c r="BG15" s="16"/>
    </row>
    <row r="16" spans="1:60" ht="14.5" x14ac:dyDescent="0.35">
      <c r="F16" s="59" t="s">
        <v>284</v>
      </c>
      <c r="G16" s="60" t="s">
        <v>285</v>
      </c>
      <c r="AF16" t="s">
        <v>286</v>
      </c>
      <c r="AG16">
        <f t="shared" si="8"/>
        <v>328600</v>
      </c>
      <c r="AH16">
        <f t="shared" si="9"/>
        <v>20706706.199999999</v>
      </c>
      <c r="AI16">
        <f>'São Miguel'!BF$21</f>
        <v>16093436</v>
      </c>
      <c r="AJ16">
        <f t="shared" si="15"/>
        <v>35988125.099999994</v>
      </c>
      <c r="AK16">
        <f t="shared" si="10"/>
        <v>38863032</v>
      </c>
      <c r="AL16">
        <f t="shared" si="11"/>
        <v>-1734289.799999997</v>
      </c>
      <c r="AM16">
        <f t="shared" si="12"/>
        <v>34253835.299999997</v>
      </c>
      <c r="AN16">
        <f t="shared" si="13"/>
        <v>34253835.299999997</v>
      </c>
      <c r="AO16">
        <f t="shared" si="14"/>
        <v>0</v>
      </c>
      <c r="AP16" s="33">
        <f>ROUND((-AW16/Batteries!$B$2)*5,0)</f>
        <v>45667</v>
      </c>
      <c r="AQ16">
        <f>ROUND((-AW16/Batteries!$B$14),0)</f>
        <v>49234</v>
      </c>
      <c r="AR16">
        <f>ROUND((-AW16/Batteries!$B$26),0)</f>
        <v>98468</v>
      </c>
      <c r="AS16">
        <f>-AW16/Batteries!$I$4</f>
        <v>1145.8145844228125</v>
      </c>
      <c r="AT16">
        <f>-AW16/Batteries!$I$11</f>
        <v>1042.6836886706601</v>
      </c>
      <c r="AU16" s="14">
        <f>-AW16/Batteries!$I$23</f>
        <v>29311.535880583579</v>
      </c>
      <c r="AW16">
        <f>AN157</f>
        <v>-126039.60428650938</v>
      </c>
    </row>
    <row r="17" spans="6:79" ht="14.5" x14ac:dyDescent="0.35">
      <c r="F17" s="61" t="s">
        <v>287</v>
      </c>
      <c r="G17" s="62" t="s">
        <v>288</v>
      </c>
      <c r="AF17" t="s">
        <v>289</v>
      </c>
      <c r="AG17">
        <f t="shared" si="8"/>
        <v>259100</v>
      </c>
      <c r="AH17">
        <f t="shared" si="9"/>
        <v>34312628.100000001</v>
      </c>
      <c r="AI17">
        <f>'São Miguel'!BG$21</f>
        <v>17330720</v>
      </c>
      <c r="AJ17">
        <f t="shared" si="15"/>
        <v>34253835.299999997</v>
      </c>
      <c r="AK17">
        <f t="shared" si="10"/>
        <v>37224817</v>
      </c>
      <c r="AL17">
        <f t="shared" si="11"/>
        <v>14677631.100000001</v>
      </c>
      <c r="AM17">
        <f t="shared" si="12"/>
        <v>48931466.399999999</v>
      </c>
      <c r="AN17">
        <f t="shared" si="13"/>
        <v>48931466.399999999</v>
      </c>
      <c r="AO17">
        <f t="shared" si="14"/>
        <v>0</v>
      </c>
      <c r="AP17" s="33">
        <f>ROUND((-AW17/Batteries!$B$2)*5,0)</f>
        <v>5557</v>
      </c>
      <c r="AQ17">
        <f>ROUND((-AW17/Batteries!$B$14),0)</f>
        <v>5991</v>
      </c>
      <c r="AR17">
        <f>ROUND((-AW17/Batteries!$B$26),0)</f>
        <v>11983</v>
      </c>
      <c r="AS17">
        <f>-AW17/Batteries!$I$4</f>
        <v>139.4370482667201</v>
      </c>
      <c r="AT17">
        <f>-AW17/Batteries!$I$11</f>
        <v>126.88679110968906</v>
      </c>
      <c r="AU17" s="14">
        <f>-AW17/Batteries!$I$23</f>
        <v>3566.9942579858634</v>
      </c>
      <c r="AW17">
        <f>BC157</f>
        <v>-15338.075309339212</v>
      </c>
    </row>
    <row r="18" spans="6:79" ht="14.5" x14ac:dyDescent="0.35">
      <c r="F18" s="59" t="s">
        <v>290</v>
      </c>
      <c r="G18" s="60" t="s">
        <v>291</v>
      </c>
      <c r="I18" s="145" t="s">
        <v>497</v>
      </c>
      <c r="J18" s="145" t="s">
        <v>517</v>
      </c>
      <c r="K18" s="145" t="s">
        <v>222</v>
      </c>
      <c r="L18" s="145" t="s">
        <v>516</v>
      </c>
      <c r="M18" s="145" t="s">
        <v>226</v>
      </c>
      <c r="AF18" t="s">
        <v>292</v>
      </c>
      <c r="AG18">
        <f t="shared" si="8"/>
        <v>192399.99999999997</v>
      </c>
      <c r="AH18">
        <f t="shared" si="9"/>
        <v>27893537.100000001</v>
      </c>
      <c r="AI18">
        <f>'São Miguel'!BH$21</f>
        <v>16071911</v>
      </c>
      <c r="AJ18">
        <f t="shared" si="15"/>
        <v>48931466.399999999</v>
      </c>
      <c r="AK18">
        <f t="shared" si="10"/>
        <v>34612341</v>
      </c>
      <c r="AL18">
        <f t="shared" si="11"/>
        <v>9545507.1000000015</v>
      </c>
      <c r="AM18">
        <f t="shared" si="12"/>
        <v>58476973.5</v>
      </c>
      <c r="AN18">
        <f t="shared" si="13"/>
        <v>58476973.5</v>
      </c>
      <c r="AO18">
        <f t="shared" si="14"/>
        <v>0</v>
      </c>
      <c r="AP18" s="33">
        <f>ROUND((-AW18/Batteries!$B$2)*5,0)</f>
        <v>11197</v>
      </c>
      <c r="AQ18">
        <f>ROUND((-AW18/Batteries!$B$14),0)</f>
        <v>12072</v>
      </c>
      <c r="AR18">
        <f>ROUND((-AW18/Batteries!$B$26),0)</f>
        <v>24144</v>
      </c>
      <c r="AS18">
        <f>-AW18/Batteries!$I$4</f>
        <v>280.95343708168156</v>
      </c>
      <c r="AT18">
        <f>-AW18/Batteries!$I$11</f>
        <v>255.66576835692399</v>
      </c>
      <c r="AU18" s="14">
        <f>-AW18/Batteries!$I$23</f>
        <v>7187.1809486011562</v>
      </c>
      <c r="AW18">
        <f>BQ157</f>
        <v>-30904.87807898497</v>
      </c>
    </row>
    <row r="19" spans="6:79" thickBot="1" x14ac:dyDescent="0.4">
      <c r="F19" s="61" t="s">
        <v>293</v>
      </c>
      <c r="G19" s="62" t="s">
        <v>294</v>
      </c>
      <c r="I19" s="145" t="s">
        <v>501</v>
      </c>
      <c r="J19" s="128" t="s">
        <v>48</v>
      </c>
      <c r="K19" s="128">
        <v>481</v>
      </c>
      <c r="L19" s="128" t="s">
        <v>52</v>
      </c>
      <c r="M19" s="151">
        <f>ROUNDUP(K13,0)</f>
        <v>112697</v>
      </c>
      <c r="AF19" t="s">
        <v>295</v>
      </c>
      <c r="AG19">
        <f t="shared" si="8"/>
        <v>167100</v>
      </c>
      <c r="AH19">
        <f t="shared" si="9"/>
        <v>39508693.5</v>
      </c>
      <c r="AI19">
        <f>'São Miguel'!BI$21</f>
        <v>16751495</v>
      </c>
      <c r="AJ19">
        <f t="shared" si="15"/>
        <v>58476973.5</v>
      </c>
      <c r="AK19">
        <f t="shared" si="10"/>
        <v>32646974</v>
      </c>
      <c r="AL19">
        <f t="shared" si="11"/>
        <v>23780314.5</v>
      </c>
      <c r="AM19">
        <f t="shared" si="12"/>
        <v>82257288</v>
      </c>
      <c r="AN19">
        <f t="shared" si="13"/>
        <v>82257288</v>
      </c>
      <c r="AO19">
        <f t="shared" si="14"/>
        <v>0</v>
      </c>
      <c r="AP19" s="35">
        <f>ROUND((-AW19/Batteries!$B$2)*5,0)</f>
        <v>0</v>
      </c>
      <c r="AQ19" s="15">
        <f>ROUND((-AW19/Batteries!$B$14),0)</f>
        <v>0</v>
      </c>
      <c r="AR19" s="15">
        <f>ROUND((-AW19/Batteries!$B$26),0)</f>
        <v>0</v>
      </c>
      <c r="AS19" s="15">
        <f>-AW19/Batteries!$I$4</f>
        <v>0</v>
      </c>
      <c r="AT19" s="15">
        <f>-AW19/Batteries!$I$11</f>
        <v>0</v>
      </c>
      <c r="AU19" s="16">
        <f>-AW19/Batteries!$I$23</f>
        <v>0</v>
      </c>
      <c r="AW19">
        <f>CE157</f>
        <v>0</v>
      </c>
    </row>
    <row r="20" spans="6:79" ht="14.5" x14ac:dyDescent="0.35">
      <c r="F20" s="59" t="s">
        <v>296</v>
      </c>
      <c r="G20" s="60" t="s">
        <v>297</v>
      </c>
      <c r="I20" s="145" t="s">
        <v>494</v>
      </c>
      <c r="J20" s="128" t="s">
        <v>48</v>
      </c>
      <c r="K20" s="128">
        <v>141</v>
      </c>
      <c r="L20" s="146" t="s">
        <v>52</v>
      </c>
      <c r="M20" s="128">
        <v>13925</v>
      </c>
      <c r="BE20" s="101" t="s">
        <v>239</v>
      </c>
      <c r="BF20" s="101">
        <v>524440.6</v>
      </c>
      <c r="BG20" s="101" t="s">
        <v>176</v>
      </c>
      <c r="BM20" t="s">
        <v>167</v>
      </c>
    </row>
    <row r="21" spans="6:79" ht="14.5" x14ac:dyDescent="0.35">
      <c r="F21" s="61" t="s">
        <v>298</v>
      </c>
      <c r="G21" s="62" t="s">
        <v>299</v>
      </c>
      <c r="I21" s="145" t="s">
        <v>495</v>
      </c>
      <c r="J21" s="128" t="s">
        <v>48</v>
      </c>
      <c r="K21" s="128">
        <v>44</v>
      </c>
      <c r="L21" s="146" t="s">
        <v>52</v>
      </c>
      <c r="M21" s="128">
        <v>2075</v>
      </c>
    </row>
    <row r="22" spans="6:79" ht="14.5" x14ac:dyDescent="0.35">
      <c r="F22" s="59" t="s">
        <v>300</v>
      </c>
      <c r="G22" s="60" t="s">
        <v>301</v>
      </c>
    </row>
    <row r="23" spans="6:79" ht="14.5" customHeight="1" x14ac:dyDescent="0.35">
      <c r="F23" s="61" t="s">
        <v>302</v>
      </c>
      <c r="G23" s="62" t="s">
        <v>285</v>
      </c>
      <c r="I23" s="147"/>
      <c r="J23" s="101"/>
      <c r="K23" s="101"/>
      <c r="L23" s="101"/>
      <c r="M23" s="101"/>
    </row>
    <row r="24" spans="6:79" ht="14.5" x14ac:dyDescent="0.35">
      <c r="F24" s="59" t="s">
        <v>303</v>
      </c>
      <c r="G24" s="60" t="s">
        <v>304</v>
      </c>
      <c r="I24" s="147"/>
      <c r="J24" s="101"/>
      <c r="K24" s="101"/>
      <c r="L24" s="101"/>
      <c r="M24" s="101"/>
      <c r="AC24">
        <v>10000</v>
      </c>
      <c r="AD24">
        <v>183</v>
      </c>
    </row>
    <row r="25" spans="6:79" ht="14.5" x14ac:dyDescent="0.35">
      <c r="F25" s="61" t="s">
        <v>305</v>
      </c>
      <c r="G25" s="62" t="s">
        <v>306</v>
      </c>
      <c r="I25" s="56"/>
      <c r="J25" s="56"/>
      <c r="K25" s="56"/>
      <c r="L25" s="101"/>
      <c r="M25" s="101"/>
      <c r="AC25">
        <v>3850</v>
      </c>
      <c r="AD25">
        <v>50</v>
      </c>
    </row>
    <row r="26" spans="6:79" ht="15" customHeight="1" x14ac:dyDescent="0.35">
      <c r="F26" s="59" t="s">
        <v>307</v>
      </c>
      <c r="G26" s="60" t="s">
        <v>308</v>
      </c>
      <c r="I26" s="56"/>
      <c r="J26" s="56"/>
      <c r="K26" s="30"/>
      <c r="L26" s="101"/>
      <c r="M26" s="101"/>
      <c r="AC26">
        <v>5380</v>
      </c>
      <c r="AD26">
        <v>12</v>
      </c>
    </row>
    <row r="27" spans="6:79" ht="14.5" x14ac:dyDescent="0.35">
      <c r="F27" s="61" t="s">
        <v>309</v>
      </c>
      <c r="G27" s="62" t="s">
        <v>310</v>
      </c>
      <c r="I27" s="56"/>
      <c r="J27" s="56"/>
      <c r="K27" s="30"/>
      <c r="AZ27" t="s">
        <v>165</v>
      </c>
      <c r="CA27" t="s">
        <v>199</v>
      </c>
    </row>
    <row r="28" spans="6:79" ht="14.5" x14ac:dyDescent="0.35">
      <c r="F28" s="59" t="s">
        <v>311</v>
      </c>
      <c r="G28" s="60" t="s">
        <v>312</v>
      </c>
      <c r="I28" s="56"/>
      <c r="J28" s="56"/>
      <c r="K28" s="30"/>
      <c r="BA28" t="s">
        <v>182</v>
      </c>
      <c r="BB28">
        <v>1173547.607142857</v>
      </c>
      <c r="BC28" t="s">
        <v>176</v>
      </c>
      <c r="BO28" t="s">
        <v>202</v>
      </c>
      <c r="BP28">
        <v>1143174.7741935484</v>
      </c>
    </row>
    <row r="29" spans="6:79" ht="14.5" x14ac:dyDescent="0.35">
      <c r="F29" s="61" t="s">
        <v>313</v>
      </c>
      <c r="G29" s="62" t="s">
        <v>285</v>
      </c>
      <c r="I29" s="56"/>
      <c r="J29" s="56"/>
      <c r="K29" s="30"/>
      <c r="O29" s="64" t="s">
        <v>315</v>
      </c>
    </row>
    <row r="30" spans="6:79" ht="14.5" x14ac:dyDescent="0.35">
      <c r="F30" s="59" t="s">
        <v>316</v>
      </c>
      <c r="G30" s="60" t="s">
        <v>317</v>
      </c>
      <c r="I30" s="56"/>
      <c r="J30" s="56"/>
      <c r="K30" s="30"/>
      <c r="BA30" t="s">
        <v>186</v>
      </c>
      <c r="BB30">
        <f>30043.3928571429+AH9/28</f>
        <v>579837.48214285728</v>
      </c>
      <c r="BC30" t="s">
        <v>176</v>
      </c>
      <c r="BO30" t="s">
        <v>201</v>
      </c>
      <c r="BP30">
        <f>58012.2580645161+AH10/31</f>
        <v>1119636.5806451612</v>
      </c>
    </row>
    <row r="31" spans="6:79" ht="14.5" x14ac:dyDescent="0.35">
      <c r="F31" s="61" t="s">
        <v>319</v>
      </c>
      <c r="G31" s="62" t="s">
        <v>320</v>
      </c>
      <c r="I31" s="56"/>
      <c r="J31" s="56"/>
      <c r="K31" s="30"/>
      <c r="S31">
        <f>60*8*44</f>
        <v>21120</v>
      </c>
      <c r="BA31" t="s">
        <v>188</v>
      </c>
      <c r="BB31">
        <f>770+AG9/28</f>
        <v>8837.8571428571431</v>
      </c>
      <c r="BC31" t="s">
        <v>176</v>
      </c>
      <c r="BO31" t="s">
        <v>203</v>
      </c>
      <c r="BP31">
        <f>986.290322580645+AG10/31</f>
        <v>11044.354838709678</v>
      </c>
    </row>
    <row r="32" spans="6:79" ht="14.5" x14ac:dyDescent="0.35">
      <c r="F32" s="59" t="s">
        <v>321</v>
      </c>
      <c r="G32" s="60" t="s">
        <v>322</v>
      </c>
      <c r="I32" s="56"/>
      <c r="J32" s="56"/>
      <c r="K32" s="30"/>
      <c r="AF32" s="124" t="s">
        <v>497</v>
      </c>
      <c r="AG32" s="124" t="s">
        <v>502</v>
      </c>
      <c r="AH32" s="124" t="s">
        <v>503</v>
      </c>
      <c r="AI32" s="124" t="s">
        <v>506</v>
      </c>
      <c r="BA32" t="s">
        <v>190</v>
      </c>
      <c r="BB32">
        <v>82873.78571428571</v>
      </c>
      <c r="BC32" t="s">
        <v>176</v>
      </c>
      <c r="BO32" t="s">
        <v>172</v>
      </c>
      <c r="BP32">
        <v>81764.290322580651</v>
      </c>
    </row>
    <row r="33" spans="6:90" ht="14.5" x14ac:dyDescent="0.35">
      <c r="F33" s="61" t="s">
        <v>323</v>
      </c>
      <c r="G33" s="62" t="s">
        <v>324</v>
      </c>
      <c r="I33" s="56"/>
      <c r="J33" s="56"/>
      <c r="K33" s="30"/>
      <c r="AF33" s="124" t="s">
        <v>501</v>
      </c>
      <c r="AG33" s="122">
        <f>AD34</f>
        <v>10000</v>
      </c>
      <c r="AH33" s="122">
        <v>183</v>
      </c>
      <c r="AI33" s="123">
        <f>R40+AD36</f>
        <v>2.8387659259259261</v>
      </c>
      <c r="BA33" t="s">
        <v>192</v>
      </c>
      <c r="BB33">
        <v>481134.85714285716</v>
      </c>
      <c r="BC33" t="s">
        <v>176</v>
      </c>
      <c r="BO33" t="s">
        <v>170</v>
      </c>
      <c r="BP33">
        <v>493090.25806451612</v>
      </c>
      <c r="CB33" t="s">
        <v>181</v>
      </c>
      <c r="CC33">
        <v>1128295.3666666667</v>
      </c>
      <c r="CE33" t="s">
        <v>172</v>
      </c>
      <c r="CF33">
        <v>81552.066666666666</v>
      </c>
    </row>
    <row r="34" spans="6:90" ht="15" customHeight="1" x14ac:dyDescent="0.35">
      <c r="F34" s="59" t="s">
        <v>325</v>
      </c>
      <c r="G34" s="60" t="s">
        <v>285</v>
      </c>
      <c r="I34" s="56"/>
      <c r="J34" s="56"/>
      <c r="K34" s="30"/>
      <c r="Y34" s="81" t="s">
        <v>326</v>
      </c>
      <c r="AC34" t="s">
        <v>240</v>
      </c>
      <c r="AD34">
        <f>AC7</f>
        <v>10000</v>
      </c>
      <c r="AF34" s="124" t="s">
        <v>494</v>
      </c>
      <c r="AG34" s="122">
        <f>'% Renewable Faial'!AD7</f>
        <v>3850</v>
      </c>
      <c r="AH34" s="122">
        <f>'% Renewable Faial'!AE7</f>
        <v>50</v>
      </c>
      <c r="AI34" s="123">
        <f>'% Renewable Faial'!AC39+'% Renewable Faial'!AK34</f>
        <v>0.39810760148148155</v>
      </c>
      <c r="AM34" s="29" t="s">
        <v>164</v>
      </c>
      <c r="CB34" t="s">
        <v>201</v>
      </c>
      <c r="CC34">
        <f>105830+AH11/30</f>
        <v>1074233.06</v>
      </c>
      <c r="CE34" t="s">
        <v>170</v>
      </c>
      <c r="CF34">
        <v>501929.8</v>
      </c>
    </row>
    <row r="35" spans="6:90" ht="14.5" x14ac:dyDescent="0.35">
      <c r="I35" s="56"/>
      <c r="J35" s="56"/>
      <c r="K35" s="30"/>
      <c r="Y35" s="81" t="s">
        <v>327</v>
      </c>
      <c r="AC35" t="s">
        <v>328</v>
      </c>
      <c r="AD35">
        <f>(AD34*11000)/2160</f>
        <v>50925.925925925927</v>
      </c>
      <c r="AF35" s="124" t="s">
        <v>495</v>
      </c>
      <c r="AG35" s="122">
        <f>'% Renewable Flores'!AD7</f>
        <v>5380</v>
      </c>
      <c r="AH35" s="122">
        <f>'% Renewable Flores'!AE7</f>
        <v>12</v>
      </c>
      <c r="AI35" s="123">
        <f>'% Renewable Flores'!AA36+'% Renewable Flores'!AG34</f>
        <v>9.0481668148148148E-2</v>
      </c>
      <c r="CB35" t="s">
        <v>189</v>
      </c>
      <c r="CC35">
        <f>1465.86666666667+AG11/30</f>
        <v>12375.866666666669</v>
      </c>
    </row>
    <row r="36" spans="6:90" ht="14.5" x14ac:dyDescent="0.35">
      <c r="I36" s="56"/>
      <c r="J36" s="56"/>
      <c r="K36" s="30"/>
      <c r="AC36" t="s">
        <v>329</v>
      </c>
      <c r="AD36">
        <f>AD35*10^-6</f>
        <v>5.0925925925925923E-2</v>
      </c>
    </row>
    <row r="37" spans="6:90" ht="14.5" x14ac:dyDescent="0.35">
      <c r="I37" s="56"/>
      <c r="J37" s="56"/>
      <c r="K37" s="30"/>
      <c r="AM37" t="s">
        <v>174</v>
      </c>
      <c r="AN37" t="s">
        <v>175</v>
      </c>
      <c r="AP37">
        <v>1107384.1935483871</v>
      </c>
      <c r="AQ37" t="s">
        <v>176</v>
      </c>
      <c r="AR37" t="s">
        <v>177</v>
      </c>
      <c r="AT37">
        <f>45849+(AH8/31)</f>
        <v>884885.7</v>
      </c>
      <c r="AU37" t="s">
        <v>176</v>
      </c>
      <c r="AW37" t="s">
        <v>203</v>
      </c>
      <c r="AX37">
        <f>'São Miguel'!CV81+'% Renewable São Miguel'!AG8/31</f>
        <v>6601.2903225806458</v>
      </c>
    </row>
    <row r="38" spans="6:90" ht="14.5" x14ac:dyDescent="0.35">
      <c r="N38">
        <f>2*1.5*44</f>
        <v>132</v>
      </c>
    </row>
    <row r="39" spans="6:90" ht="14.5" x14ac:dyDescent="0.35">
      <c r="Q39" t="s">
        <v>330</v>
      </c>
      <c r="R39">
        <f>S31*N38</f>
        <v>2787840</v>
      </c>
      <c r="S39" s="84" t="s">
        <v>331</v>
      </c>
      <c r="AG39" s="122" t="s">
        <v>504</v>
      </c>
      <c r="AH39" s="122" t="s">
        <v>505</v>
      </c>
      <c r="AN39" t="s">
        <v>154</v>
      </c>
      <c r="AO39" t="s">
        <v>155</v>
      </c>
      <c r="AP39" t="s">
        <v>156</v>
      </c>
      <c r="AQ39" t="s">
        <v>157</v>
      </c>
      <c r="AR39" t="s">
        <v>158</v>
      </c>
      <c r="AS39" t="s">
        <v>159</v>
      </c>
      <c r="AT39" t="s">
        <v>160</v>
      </c>
      <c r="AU39" t="s">
        <v>161</v>
      </c>
      <c r="AV39" t="s">
        <v>162</v>
      </c>
      <c r="AW39" t="s">
        <v>163</v>
      </c>
      <c r="BA39" t="s">
        <v>154</v>
      </c>
      <c r="BB39" t="s">
        <v>155</v>
      </c>
      <c r="BC39" t="s">
        <v>156</v>
      </c>
      <c r="BD39" t="s">
        <v>157</v>
      </c>
      <c r="BE39" t="s">
        <v>158</v>
      </c>
      <c r="BF39" t="s">
        <v>159</v>
      </c>
      <c r="BG39" t="s">
        <v>160</v>
      </c>
      <c r="BH39" t="s">
        <v>161</v>
      </c>
      <c r="BI39" t="s">
        <v>162</v>
      </c>
      <c r="BJ39" t="s">
        <v>163</v>
      </c>
      <c r="BO39" t="s">
        <v>154</v>
      </c>
      <c r="BP39" t="s">
        <v>155</v>
      </c>
      <c r="BQ39" t="s">
        <v>156</v>
      </c>
      <c r="BR39" t="s">
        <v>157</v>
      </c>
      <c r="BS39" t="s">
        <v>158</v>
      </c>
      <c r="BT39" t="s">
        <v>159</v>
      </c>
      <c r="BU39" t="s">
        <v>160</v>
      </c>
      <c r="BV39" t="s">
        <v>161</v>
      </c>
      <c r="BW39" t="s">
        <v>162</v>
      </c>
      <c r="BX39" t="s">
        <v>163</v>
      </c>
      <c r="CC39" t="s">
        <v>154</v>
      </c>
      <c r="CD39" t="s">
        <v>155</v>
      </c>
      <c r="CE39" t="s">
        <v>156</v>
      </c>
      <c r="CF39" t="s">
        <v>157</v>
      </c>
      <c r="CG39" t="s">
        <v>158</v>
      </c>
      <c r="CH39" t="s">
        <v>159</v>
      </c>
      <c r="CI39" t="s">
        <v>160</v>
      </c>
      <c r="CJ39" t="s">
        <v>161</v>
      </c>
      <c r="CK39" t="s">
        <v>162</v>
      </c>
      <c r="CL39" t="s">
        <v>163</v>
      </c>
    </row>
    <row r="40" spans="6:90" ht="14.5" x14ac:dyDescent="0.35">
      <c r="Q40" t="s">
        <v>329</v>
      </c>
      <c r="R40">
        <f>R39*10^-6</f>
        <v>2.7878400000000001</v>
      </c>
      <c r="AG40" s="123">
        <f>AD35</f>
        <v>50925.925925925927</v>
      </c>
      <c r="AH40" s="122">
        <f>R39</f>
        <v>2787840</v>
      </c>
      <c r="AM40" t="s">
        <v>181</v>
      </c>
      <c r="AN40">
        <v>7.6555023923444973E-2</v>
      </c>
      <c r="AO40">
        <v>6.6985645933014357E-2</v>
      </c>
      <c r="AP40">
        <v>6.6985645933014357E-2</v>
      </c>
      <c r="AQ40">
        <v>8.1339712918660281E-2</v>
      </c>
      <c r="AR40">
        <v>0.11196172248803828</v>
      </c>
      <c r="AS40">
        <v>0.11961722488038277</v>
      </c>
      <c r="AT40">
        <v>0.11483253588516747</v>
      </c>
      <c r="AU40">
        <v>0.11196172248803828</v>
      </c>
      <c r="AV40">
        <v>0.13875598086124402</v>
      </c>
      <c r="AW40">
        <v>0.11100478468899522</v>
      </c>
      <c r="AZ40" t="s">
        <v>181</v>
      </c>
      <c r="BA40">
        <v>7.8973346495557747E-2</v>
      </c>
      <c r="BB40">
        <v>6.9101678183613027E-2</v>
      </c>
      <c r="BC40">
        <v>6.9101678183613027E-2</v>
      </c>
      <c r="BD40">
        <v>8.8845014807502468E-2</v>
      </c>
      <c r="BE40">
        <v>0.11451135241855874</v>
      </c>
      <c r="BF40">
        <v>0.10858835143139191</v>
      </c>
      <c r="BG40">
        <v>0.11549851924975321</v>
      </c>
      <c r="BH40">
        <v>0.10858835143139191</v>
      </c>
      <c r="BI40">
        <v>0.13820335636722605</v>
      </c>
      <c r="BJ40">
        <v>0.10858835143139191</v>
      </c>
      <c r="BN40" t="s">
        <v>181</v>
      </c>
      <c r="BO40">
        <v>7.7745383867832848E-2</v>
      </c>
      <c r="BP40">
        <v>6.8027210884353748E-2</v>
      </c>
      <c r="BQ40">
        <v>6.8027210884353748E-2</v>
      </c>
      <c r="BR40">
        <v>8.2604470359572399E-2</v>
      </c>
      <c r="BS40">
        <v>0.11661807580174927</v>
      </c>
      <c r="BT40">
        <v>0.11273080660835763</v>
      </c>
      <c r="BU40">
        <v>0.11661807580174927</v>
      </c>
      <c r="BV40">
        <v>0.11273080660835763</v>
      </c>
      <c r="BW40">
        <v>0.1360544217687075</v>
      </c>
      <c r="BX40">
        <v>0.10884353741496598</v>
      </c>
      <c r="CB40" t="s">
        <v>181</v>
      </c>
      <c r="CC40">
        <v>8.0321285140562249E-2</v>
      </c>
      <c r="CD40">
        <v>7.0281124497991967E-2</v>
      </c>
      <c r="CE40">
        <v>7.0281124497991967E-2</v>
      </c>
      <c r="CF40">
        <v>8.0321285140562249E-2</v>
      </c>
      <c r="CG40">
        <v>0.11646586345381527</v>
      </c>
      <c r="CH40">
        <v>0.12048192771084337</v>
      </c>
      <c r="CI40">
        <v>0.12449799196787148</v>
      </c>
      <c r="CJ40">
        <v>0.11646586345381527</v>
      </c>
      <c r="CK40">
        <v>0.11044176706827309</v>
      </c>
      <c r="CL40">
        <v>0.11044176706827309</v>
      </c>
    </row>
    <row r="41" spans="6:90" ht="14.5" x14ac:dyDescent="0.35">
      <c r="AG41" s="123">
        <f>'% Renewable Faial'!AK33</f>
        <v>19606.481481481482</v>
      </c>
      <c r="AH41" s="122">
        <f>'% Renewable Faial'!AC38</f>
        <v>378501.12000000011</v>
      </c>
      <c r="AM41" t="s">
        <v>181</v>
      </c>
      <c r="AN41">
        <v>84775.82342954159</v>
      </c>
      <c r="AO41">
        <v>74178.845500848896</v>
      </c>
      <c r="AP41">
        <v>74178.845500848896</v>
      </c>
      <c r="AQ41">
        <v>90074.312393887943</v>
      </c>
      <c r="AR41">
        <v>123984.64176570458</v>
      </c>
      <c r="AS41">
        <v>132462.22410865876</v>
      </c>
      <c r="AT41">
        <v>127163.73514431241</v>
      </c>
      <c r="AU41">
        <v>123984.64176570458</v>
      </c>
      <c r="AV41">
        <v>153656.17996604415</v>
      </c>
      <c r="AW41">
        <v>122924.94397283532</v>
      </c>
      <c r="AZ41" t="s">
        <v>181</v>
      </c>
      <c r="BA41">
        <v>92678.981807925535</v>
      </c>
      <c r="BB41">
        <v>81094.109081934832</v>
      </c>
      <c r="BC41">
        <v>81094.109081934832</v>
      </c>
      <c r="BD41">
        <v>104263.85453391622</v>
      </c>
      <c r="BE41">
        <v>134384.52362149203</v>
      </c>
      <c r="BF41">
        <v>127433.59998589761</v>
      </c>
      <c r="BG41">
        <v>135543.0108940911</v>
      </c>
      <c r="BH41">
        <v>127433.59998589761</v>
      </c>
      <c r="BI41">
        <v>162188.21816386966</v>
      </c>
      <c r="BJ41">
        <v>127433.59998589761</v>
      </c>
      <c r="BN41" t="s">
        <v>181</v>
      </c>
      <c r="BO41">
        <v>88876.561647700553</v>
      </c>
      <c r="BP41">
        <v>77766.991441737991</v>
      </c>
      <c r="BQ41">
        <v>77766.991441737991</v>
      </c>
      <c r="BR41">
        <v>94431.346750681842</v>
      </c>
      <c r="BS41">
        <v>133314.84247155083</v>
      </c>
      <c r="BT41">
        <v>128871.01438916581</v>
      </c>
      <c r="BU41">
        <v>133314.84247155083</v>
      </c>
      <c r="BV41">
        <v>128871.01438916581</v>
      </c>
      <c r="BW41">
        <v>155533.98288347598</v>
      </c>
      <c r="BX41">
        <v>124427.18630678077</v>
      </c>
      <c r="CB41" t="s">
        <v>181</v>
      </c>
      <c r="CC41">
        <v>90626.133868808567</v>
      </c>
      <c r="CD41">
        <v>79297.867135207503</v>
      </c>
      <c r="CE41">
        <v>79297.867135207503</v>
      </c>
      <c r="CF41">
        <v>90626.133868808567</v>
      </c>
      <c r="CG41">
        <v>131407.89410977243</v>
      </c>
      <c r="CH41">
        <v>135939.20080321285</v>
      </c>
      <c r="CI41">
        <v>140470.50749665327</v>
      </c>
      <c r="CJ41">
        <v>131407.89410977243</v>
      </c>
      <c r="CK41">
        <v>124610.93406961179</v>
      </c>
      <c r="CL41">
        <v>124610.93406961179</v>
      </c>
    </row>
    <row r="42" spans="6:90" ht="15" customHeight="1" x14ac:dyDescent="0.35">
      <c r="N42" s="156" t="s">
        <v>332</v>
      </c>
      <c r="O42" s="156"/>
      <c r="P42" s="156"/>
      <c r="Q42" s="156"/>
      <c r="R42" s="156"/>
      <c r="S42" s="156"/>
      <c r="T42" s="156"/>
      <c r="U42" s="156"/>
      <c r="Y42" s="156" t="s">
        <v>333</v>
      </c>
      <c r="Z42" s="156"/>
      <c r="AA42" s="156"/>
      <c r="AB42" s="156"/>
      <c r="AC42" s="156"/>
      <c r="AD42" s="156"/>
      <c r="AG42" s="123">
        <f>'% Renewable Flores'!AG33</f>
        <v>27398.14814814815</v>
      </c>
      <c r="AH42" s="122">
        <f>'% Renewable Flores'!AA35</f>
        <v>63083.520000000011</v>
      </c>
      <c r="AM42" t="s">
        <v>184</v>
      </c>
      <c r="AN42">
        <v>0.10771304997864166</v>
      </c>
      <c r="AO42">
        <v>0.14350170867150799</v>
      </c>
      <c r="AP42">
        <v>0.10255366296454511</v>
      </c>
      <c r="AQ42">
        <v>9.3429624092268307E-2</v>
      </c>
      <c r="AR42">
        <v>8.3751601879538701E-2</v>
      </c>
      <c r="AS42">
        <v>0.12200315036309277</v>
      </c>
      <c r="AT42">
        <v>0.12674204399829142</v>
      </c>
      <c r="AU42">
        <v>0.10995568133276386</v>
      </c>
      <c r="AV42">
        <v>5.9029260999572869E-2</v>
      </c>
      <c r="AW42">
        <v>5.1320215719777899E-2</v>
      </c>
      <c r="AZ42" t="s">
        <v>184</v>
      </c>
      <c r="BA42">
        <v>7.6775740433426082E-2</v>
      </c>
      <c r="BB42">
        <v>7.4865957024300961E-2</v>
      </c>
      <c r="BC42">
        <v>0.10624383347233789</v>
      </c>
      <c r="BD42">
        <v>6.9292942354646184E-2</v>
      </c>
      <c r="BE42">
        <v>0.12012098811296168</v>
      </c>
      <c r="BF42">
        <v>0.10429333109192779</v>
      </c>
      <c r="BG42">
        <v>0.11766308082165675</v>
      </c>
      <c r="BH42">
        <v>0.14845338031161906</v>
      </c>
      <c r="BI42">
        <v>6.9975987404283777E-2</v>
      </c>
      <c r="BJ42">
        <v>0.11231475897283988</v>
      </c>
      <c r="BN42" t="s">
        <v>184</v>
      </c>
      <c r="BO42">
        <v>6.9392884393387588E-2</v>
      </c>
      <c r="BP42">
        <v>7.1029677525766305E-2</v>
      </c>
      <c r="BQ42">
        <v>0.10077589673363907</v>
      </c>
      <c r="BR42">
        <v>7.446355410483721E-2</v>
      </c>
      <c r="BS42">
        <v>0.12708640747202571</v>
      </c>
      <c r="BT42">
        <v>0.10109739328617787</v>
      </c>
      <c r="BU42">
        <v>0.10801185965227267</v>
      </c>
      <c r="BV42">
        <v>0.15165112769061259</v>
      </c>
      <c r="BW42">
        <v>8.0205611258292439E-2</v>
      </c>
      <c r="BX42">
        <v>0.11628558788298854</v>
      </c>
      <c r="CB42" t="s">
        <v>184</v>
      </c>
      <c r="CC42">
        <v>6.7897404038733594E-2</v>
      </c>
      <c r="CD42">
        <v>6.9549629748506342E-2</v>
      </c>
      <c r="CE42">
        <v>0.10780706354100253</v>
      </c>
      <c r="CF42">
        <v>7.2921461893334094E-2</v>
      </c>
      <c r="CG42">
        <v>0.13520949044934139</v>
      </c>
      <c r="CH42">
        <v>0.1045980914479461</v>
      </c>
      <c r="CI42">
        <v>0.10617426920221362</v>
      </c>
      <c r="CJ42">
        <v>0.14787692700836153</v>
      </c>
      <c r="CK42">
        <v>7.7336157545641715E-2</v>
      </c>
      <c r="CL42">
        <v>0.11062950512491927</v>
      </c>
    </row>
    <row r="43" spans="6:90" ht="14.5" x14ac:dyDescent="0.35">
      <c r="AM43" t="s">
        <v>185</v>
      </c>
      <c r="AN43">
        <f t="shared" ref="AN43:AW43" si="16">$AT$37*AN42</f>
        <v>95313.737629485302</v>
      </c>
      <c r="AO43">
        <f t="shared" si="16"/>
        <v>126982.60992898341</v>
      </c>
      <c r="AP43">
        <f t="shared" si="16"/>
        <v>90748.269839945569</v>
      </c>
      <c r="AQ43">
        <f t="shared" si="16"/>
        <v>82674.538315623708</v>
      </c>
      <c r="AR43">
        <f t="shared" si="16"/>
        <v>74110.59485529692</v>
      </c>
      <c r="AS43">
        <f t="shared" si="16"/>
        <v>107958.84311125059</v>
      </c>
      <c r="AT43">
        <f t="shared" si="16"/>
        <v>112152.2223228589</v>
      </c>
      <c r="AU43">
        <f t="shared" si="16"/>
        <v>97298.210045119675</v>
      </c>
      <c r="AV43">
        <f t="shared" si="16"/>
        <v>52234.148940089734</v>
      </c>
      <c r="AW43">
        <f t="shared" si="16"/>
        <v>45412.525011346668</v>
      </c>
      <c r="AZ43" t="s">
        <v>185</v>
      </c>
      <c r="BA43">
        <f t="shared" ref="BA43:BJ43" si="17">$BB$30*BA42</f>
        <v>44517.452022571342</v>
      </c>
      <c r="BB43">
        <f t="shared" si="17"/>
        <v>43410.088019186027</v>
      </c>
      <c r="BC43">
        <f t="shared" si="17"/>
        <v>61604.156893805419</v>
      </c>
      <c r="BD43">
        <f t="shared" si="17"/>
        <v>40178.645225188193</v>
      </c>
      <c r="BE43">
        <f t="shared" si="17"/>
        <v>69650.651299931793</v>
      </c>
      <c r="BF43">
        <f t="shared" si="17"/>
        <v>60473.18250463478</v>
      </c>
      <c r="BG43">
        <f t="shared" si="17"/>
        <v>68225.464524800962</v>
      </c>
      <c r="BH43">
        <f t="shared" si="17"/>
        <v>86078.834255485213</v>
      </c>
      <c r="BI43">
        <f t="shared" si="17"/>
        <v>40574.700346960199</v>
      </c>
      <c r="BJ43">
        <f t="shared" si="17"/>
        <v>65124.307050293362</v>
      </c>
      <c r="BN43" t="s">
        <v>185</v>
      </c>
      <c r="BO43">
        <f t="shared" ref="BO43:BX43" si="18">$BP$30*BO42</f>
        <v>77694.811803317454</v>
      </c>
      <c r="BP43">
        <f t="shared" si="18"/>
        <v>79527.425269277446</v>
      </c>
      <c r="BQ43">
        <f t="shared" si="18"/>
        <v>112832.38043030152</v>
      </c>
      <c r="BR43">
        <f t="shared" si="18"/>
        <v>83372.119100625889</v>
      </c>
      <c r="BS43">
        <f t="shared" si="18"/>
        <v>142290.59070845653</v>
      </c>
      <c r="BT43">
        <f t="shared" si="18"/>
        <v>113192.33973107526</v>
      </c>
      <c r="BU43">
        <f t="shared" si="18"/>
        <v>120934.02921019563</v>
      </c>
      <c r="BV43">
        <f t="shared" si="18"/>
        <v>169794.15005850021</v>
      </c>
      <c r="BW43">
        <f t="shared" si="18"/>
        <v>89801.13633778959</v>
      </c>
      <c r="BX43">
        <f t="shared" si="18"/>
        <v>130197.59799562168</v>
      </c>
      <c r="CB43" t="s">
        <v>185</v>
      </c>
      <c r="CC43">
        <f t="shared" ref="CC43:CL43" si="19">$CC$34*CC42</f>
        <v>72937.636106585152</v>
      </c>
      <c r="CD43">
        <f t="shared" si="19"/>
        <v>74712.511586605004</v>
      </c>
      <c r="CE43">
        <f t="shared" si="19"/>
        <v>115809.91175726558</v>
      </c>
      <c r="CF43">
        <f t="shared" si="19"/>
        <v>78334.645149349686</v>
      </c>
      <c r="CG43">
        <f t="shared" si="19"/>
        <v>145246.50466643678</v>
      </c>
      <c r="CH43">
        <f t="shared" si="19"/>
        <v>112362.72784628697</v>
      </c>
      <c r="CI43">
        <f t="shared" si="19"/>
        <v>114055.91009835771</v>
      </c>
      <c r="CJ43">
        <f t="shared" si="19"/>
        <v>158854.28380358886</v>
      </c>
      <c r="CK43">
        <f t="shared" si="19"/>
        <v>83077.05716889679</v>
      </c>
      <c r="CL43">
        <f t="shared" si="19"/>
        <v>118841.87181662772</v>
      </c>
    </row>
    <row r="44" spans="6:90" ht="14.5" x14ac:dyDescent="0.35">
      <c r="AM44" t="s">
        <v>93</v>
      </c>
      <c r="AN44">
        <v>2.9351959144444753E-3</v>
      </c>
      <c r="AO44">
        <v>1.0858742461265546E-3</v>
      </c>
      <c r="AP44">
        <v>3.7184089656893391E-4</v>
      </c>
      <c r="AQ44">
        <v>8.279327869784036E-3</v>
      </c>
      <c r="AR44">
        <v>0.22411999713398381</v>
      </c>
      <c r="AS44">
        <v>0.4040218113716606</v>
      </c>
      <c r="AT44">
        <v>0.30213987641540441</v>
      </c>
      <c r="AU44">
        <v>4.7654931647984046E-2</v>
      </c>
      <c r="AV44">
        <v>2.4707036316872686E-6</v>
      </c>
      <c r="AW44">
        <v>0</v>
      </c>
      <c r="AZ44" t="s">
        <v>93</v>
      </c>
      <c r="BA44">
        <v>4.1715650882962643E-5</v>
      </c>
      <c r="BB44">
        <v>8.8411931510762749E-5</v>
      </c>
      <c r="BC44">
        <v>8.0408168699914803E-5</v>
      </c>
      <c r="BD44">
        <v>1.3689474799162403E-3</v>
      </c>
      <c r="BE44">
        <v>0.18134463677858975</v>
      </c>
      <c r="BF44">
        <v>0.28057697784721269</v>
      </c>
      <c r="BG44">
        <v>0.31881334296575548</v>
      </c>
      <c r="BH44">
        <v>0.21536365542627231</v>
      </c>
      <c r="BI44">
        <v>2.2615177656386157E-3</v>
      </c>
      <c r="BJ44">
        <v>6.038598552133316E-5</v>
      </c>
      <c r="BN44" t="s">
        <v>93</v>
      </c>
      <c r="BO44">
        <v>1.0680110074174476E-4</v>
      </c>
      <c r="BP44">
        <v>6.6943153807714624E-5</v>
      </c>
      <c r="BQ44">
        <v>2.0411509678201244E-4</v>
      </c>
      <c r="BR44">
        <v>8.7456457070874388E-3</v>
      </c>
      <c r="BS44">
        <v>0.20393497910106637</v>
      </c>
      <c r="BT44">
        <v>0.27425996775513634</v>
      </c>
      <c r="BU44">
        <v>0.29458565176992152</v>
      </c>
      <c r="BV44">
        <v>0.21151153559656435</v>
      </c>
      <c r="BW44">
        <v>6.4451094831272241E-3</v>
      </c>
      <c r="BX44">
        <v>1.3925123576538794E-4</v>
      </c>
      <c r="CB44" t="s">
        <v>93</v>
      </c>
      <c r="CC44">
        <v>2.939178897831129E-5</v>
      </c>
      <c r="CD44">
        <v>1.4091193061226136E-5</v>
      </c>
      <c r="CE44">
        <v>7.0663034361205054E-5</v>
      </c>
      <c r="CF44">
        <v>1.9841952932252476E-2</v>
      </c>
      <c r="CG44">
        <v>0.24680561946439672</v>
      </c>
      <c r="CH44">
        <v>0.27060806196927933</v>
      </c>
      <c r="CI44">
        <v>0.25946737651294988</v>
      </c>
      <c r="CJ44">
        <v>0.19086979336250817</v>
      </c>
      <c r="CK44">
        <v>1.2233743990434401E-2</v>
      </c>
      <c r="CL44">
        <v>5.9305751778443699E-5</v>
      </c>
    </row>
    <row r="45" spans="6:90" ht="14.5" x14ac:dyDescent="0.35">
      <c r="AM45" t="s">
        <v>189</v>
      </c>
      <c r="AN45">
        <f t="shared" ref="AN45:AW45" si="20">$AX$37*AN44</f>
        <v>19.376080384900565</v>
      </c>
      <c r="AO45">
        <f t="shared" si="20"/>
        <v>7.1681711524947795</v>
      </c>
      <c r="AP45">
        <f t="shared" si="20"/>
        <v>2.4546297120602145</v>
      </c>
      <c r="AQ45">
        <f t="shared" si="20"/>
        <v>54.654246944277588</v>
      </c>
      <c r="AR45">
        <f t="shared" si="20"/>
        <v>1479.4811681773695</v>
      </c>
      <c r="AS45">
        <f t="shared" si="20"/>
        <v>2667.0652735192461</v>
      </c>
      <c r="AT45">
        <f t="shared" si="20"/>
        <v>1994.5130422467214</v>
      </c>
      <c r="AU45">
        <f t="shared" si="20"/>
        <v>314.58403911107922</v>
      </c>
      <c r="AV45">
        <f t="shared" si="20"/>
        <v>1.6309831973822023E-2</v>
      </c>
      <c r="AW45">
        <f t="shared" si="20"/>
        <v>0</v>
      </c>
      <c r="AZ45" t="s">
        <v>189</v>
      </c>
      <c r="BA45">
        <f t="shared" ref="BA45:BJ45" si="21">$BB$31*BA44</f>
        <v>0.36867696312492626</v>
      </c>
      <c r="BB45">
        <f t="shared" si="21"/>
        <v>0.78137202041619114</v>
      </c>
      <c r="BC45">
        <f t="shared" si="21"/>
        <v>0.71063590808860422</v>
      </c>
      <c r="BD45">
        <f t="shared" si="21"/>
        <v>12.09856226357403</v>
      </c>
      <c r="BE45">
        <f t="shared" si="21"/>
        <v>1602.6979934724936</v>
      </c>
      <c r="BF45">
        <f t="shared" si="21"/>
        <v>2479.6992477882591</v>
      </c>
      <c r="BG45">
        <f t="shared" si="21"/>
        <v>2817.6267803680662</v>
      </c>
      <c r="BH45">
        <f t="shared" si="21"/>
        <v>1903.3532204209052</v>
      </c>
      <c r="BI45">
        <f t="shared" si="21"/>
        <v>19.986970938747564</v>
      </c>
      <c r="BJ45">
        <f t="shared" si="21"/>
        <v>0.5336827134681823</v>
      </c>
      <c r="BN45" t="s">
        <v>189</v>
      </c>
      <c r="BO45">
        <f t="shared" ref="BO45:BX45" si="22">$BP$31*BO44</f>
        <v>1.1795492537566086</v>
      </c>
      <c r="BP45">
        <f t="shared" si="22"/>
        <v>0.7393439446747192</v>
      </c>
      <c r="BQ45">
        <f t="shared" si="22"/>
        <v>2.2543195567981131</v>
      </c>
      <c r="BR45">
        <f t="shared" si="22"/>
        <v>96.59001448271168</v>
      </c>
      <c r="BS45">
        <f t="shared" si="22"/>
        <v>2252.3302732170196</v>
      </c>
      <c r="BT45">
        <f t="shared" si="22"/>
        <v>3029.0244019408001</v>
      </c>
      <c r="BU45">
        <f t="shared" si="22"/>
        <v>3253.5084685395768</v>
      </c>
      <c r="BV45">
        <f t="shared" si="22"/>
        <v>2336.00845160883</v>
      </c>
      <c r="BW45">
        <f t="shared" si="22"/>
        <v>71.182076105989793</v>
      </c>
      <c r="BX45">
        <f t="shared" si="22"/>
        <v>1.5379400595217645</v>
      </c>
      <c r="CB45" t="s">
        <v>189</v>
      </c>
      <c r="CC45">
        <f t="shared" ref="CC45:CL45" si="23">$CC$35*CC44</f>
        <v>0.36374886149038349</v>
      </c>
      <c r="CD45">
        <f t="shared" si="23"/>
        <v>0.17439072649999318</v>
      </c>
      <c r="CE45">
        <f t="shared" si="23"/>
        <v>0.87451629151635901</v>
      </c>
      <c r="CF45">
        <f t="shared" si="23"/>
        <v>245.56136389583239</v>
      </c>
      <c r="CG45">
        <f t="shared" si="23"/>
        <v>3054.4334390754457</v>
      </c>
      <c r="CH45">
        <f t="shared" si="23"/>
        <v>3349.0092938568723</v>
      </c>
      <c r="CI45">
        <f t="shared" si="23"/>
        <v>3211.1336560740665</v>
      </c>
      <c r="CJ45">
        <f t="shared" si="23"/>
        <v>2362.1791133486199</v>
      </c>
      <c r="CK45">
        <f t="shared" si="23"/>
        <v>151.40318445975078</v>
      </c>
      <c r="CL45">
        <f t="shared" si="23"/>
        <v>0.73396007657644891</v>
      </c>
    </row>
    <row r="46" spans="6:90" ht="14.5" x14ac:dyDescent="0.35">
      <c r="AM46" t="s">
        <v>172</v>
      </c>
      <c r="AN46">
        <v>8572.1838709677431</v>
      </c>
      <c r="AO46">
        <v>8572.1838709677431</v>
      </c>
      <c r="AP46">
        <v>8572.1838709677431</v>
      </c>
      <c r="AQ46">
        <v>8572.1838709677431</v>
      </c>
      <c r="AR46">
        <v>8572.1838709677431</v>
      </c>
      <c r="AS46">
        <v>8572.1838709677431</v>
      </c>
      <c r="AT46">
        <v>8572.1838709677431</v>
      </c>
      <c r="AU46">
        <v>8572.1838709677431</v>
      </c>
      <c r="AV46">
        <v>8572.1838709677431</v>
      </c>
      <c r="AW46">
        <v>8572.1838709677431</v>
      </c>
      <c r="AZ46" t="s">
        <v>172</v>
      </c>
      <c r="BA46">
        <v>8287.3785714285714</v>
      </c>
      <c r="BB46">
        <v>8287.3785714285714</v>
      </c>
      <c r="BC46">
        <v>8287.3785714285714</v>
      </c>
      <c r="BD46">
        <v>8287.3785714285714</v>
      </c>
      <c r="BE46">
        <v>8287.3785714285714</v>
      </c>
      <c r="BF46">
        <v>8287.3785714285714</v>
      </c>
      <c r="BG46">
        <v>8287.3785714285714</v>
      </c>
      <c r="BH46">
        <v>8287.3785714285714</v>
      </c>
      <c r="BI46">
        <v>8287.3785714285714</v>
      </c>
      <c r="BJ46">
        <v>8287.3785714285714</v>
      </c>
      <c r="BN46" t="s">
        <v>172</v>
      </c>
      <c r="BO46">
        <v>8176.4290322580655</v>
      </c>
      <c r="BP46">
        <v>8176.4290322580655</v>
      </c>
      <c r="BQ46">
        <v>8176.4290322580655</v>
      </c>
      <c r="BR46">
        <v>8176.4290322580655</v>
      </c>
      <c r="BS46">
        <v>8176.4290322580655</v>
      </c>
      <c r="BT46">
        <v>8176.4290322580655</v>
      </c>
      <c r="BU46">
        <v>8176.4290322580655</v>
      </c>
      <c r="BV46">
        <v>8176.4290322580655</v>
      </c>
      <c r="BW46">
        <v>8176.4290322580655</v>
      </c>
      <c r="BX46">
        <v>8176.4290322580655</v>
      </c>
      <c r="CB46" t="s">
        <v>172</v>
      </c>
      <c r="CC46">
        <v>8155.2066666666669</v>
      </c>
      <c r="CD46">
        <v>8155.2066666666669</v>
      </c>
      <c r="CE46">
        <v>8155.2066666666669</v>
      </c>
      <c r="CF46">
        <v>8155.2066666666669</v>
      </c>
      <c r="CG46">
        <v>8155.2066666666669</v>
      </c>
      <c r="CH46">
        <v>8155.2066666666669</v>
      </c>
      <c r="CI46">
        <v>8155.2066666666669</v>
      </c>
      <c r="CJ46">
        <v>8155.2066666666669</v>
      </c>
      <c r="CK46">
        <v>8155.2066666666669</v>
      </c>
      <c r="CL46">
        <v>8155.2066666666669</v>
      </c>
    </row>
    <row r="47" spans="6:90" ht="14.5" x14ac:dyDescent="0.35">
      <c r="AM47" t="s">
        <v>170</v>
      </c>
      <c r="AN47">
        <v>14550.929032258064</v>
      </c>
      <c r="AO47">
        <v>14550.929032258064</v>
      </c>
      <c r="AP47">
        <v>14550.929032258064</v>
      </c>
      <c r="AQ47">
        <v>14550.929032258064</v>
      </c>
      <c r="AR47">
        <v>14550.929032258064</v>
      </c>
      <c r="AS47">
        <v>14550.929032258064</v>
      </c>
      <c r="AT47">
        <v>14550.929032258064</v>
      </c>
      <c r="AU47">
        <v>14550.929032258064</v>
      </c>
      <c r="AV47">
        <v>14550.929032258064</v>
      </c>
      <c r="AW47">
        <v>14550.929032258064</v>
      </c>
      <c r="AZ47" t="s">
        <v>170</v>
      </c>
      <c r="BA47">
        <v>48113.485714285714</v>
      </c>
      <c r="BB47">
        <v>48113.485714285714</v>
      </c>
      <c r="BC47">
        <v>48113.485714285714</v>
      </c>
      <c r="BD47">
        <v>48113.485714285714</v>
      </c>
      <c r="BE47">
        <v>48113.485714285714</v>
      </c>
      <c r="BF47">
        <v>48113.485714285714</v>
      </c>
      <c r="BG47">
        <v>48113.485714285714</v>
      </c>
      <c r="BH47">
        <v>48113.485714285714</v>
      </c>
      <c r="BI47">
        <v>48113.485714285714</v>
      </c>
      <c r="BJ47">
        <v>48113.485714285714</v>
      </c>
      <c r="BN47" t="s">
        <v>170</v>
      </c>
      <c r="BO47">
        <v>49309.025806451609</v>
      </c>
      <c r="BP47">
        <v>49309.025806451609</v>
      </c>
      <c r="BQ47">
        <v>49309.025806451609</v>
      </c>
      <c r="BR47">
        <v>49309.025806451609</v>
      </c>
      <c r="BS47">
        <v>49309.025806451609</v>
      </c>
      <c r="BT47">
        <v>49309.025806451609</v>
      </c>
      <c r="BU47">
        <v>49309.025806451609</v>
      </c>
      <c r="BV47">
        <v>49309.025806451609</v>
      </c>
      <c r="BW47">
        <v>49309.025806451609</v>
      </c>
      <c r="BX47">
        <v>49309.025806451609</v>
      </c>
      <c r="CB47" t="s">
        <v>170</v>
      </c>
      <c r="CC47">
        <v>50192.979999999996</v>
      </c>
      <c r="CD47">
        <v>50192.979999999996</v>
      </c>
      <c r="CE47">
        <v>50192.979999999996</v>
      </c>
      <c r="CF47">
        <v>50192.979999999996</v>
      </c>
      <c r="CG47">
        <v>50192.979999999996</v>
      </c>
      <c r="CH47">
        <v>50192.979999999996</v>
      </c>
      <c r="CI47">
        <v>50192.979999999996</v>
      </c>
      <c r="CJ47">
        <v>50192.979999999996</v>
      </c>
      <c r="CK47">
        <v>50192.979999999996</v>
      </c>
      <c r="CL47">
        <v>50192.979999999996</v>
      </c>
    </row>
    <row r="48" spans="6:90" ht="14.5" x14ac:dyDescent="0.35"/>
    <row r="49" spans="11:90" ht="14.5" x14ac:dyDescent="0.35"/>
    <row r="50" spans="11:90" ht="14.5" x14ac:dyDescent="0.35">
      <c r="AM50" t="s">
        <v>334</v>
      </c>
      <c r="AN50">
        <v>0</v>
      </c>
      <c r="AO50">
        <f t="shared" ref="AO50:AW50" si="24">AN54</f>
        <v>33680.403183554416</v>
      </c>
      <c r="AP50">
        <f t="shared" si="24"/>
        <v>109614.44868606725</v>
      </c>
      <c r="AQ50">
        <f t="shared" si="24"/>
        <v>149309.44055810178</v>
      </c>
      <c r="AR50">
        <f t="shared" si="24"/>
        <v>165087.43363000761</v>
      </c>
      <c r="AS50">
        <f t="shared" si="24"/>
        <v>139815.98079100312</v>
      </c>
      <c r="AT50">
        <f t="shared" si="24"/>
        <v>141102.77797033999</v>
      </c>
      <c r="AU50">
        <f t="shared" si="24"/>
        <v>151208.89109435902</v>
      </c>
      <c r="AV50">
        <f t="shared" si="24"/>
        <v>147960.15631611098</v>
      </c>
      <c r="AW50">
        <f t="shared" si="24"/>
        <v>69661.254503214353</v>
      </c>
      <c r="AZ50" t="s">
        <v>194</v>
      </c>
      <c r="BA50">
        <f t="shared" ref="BA50:BJ50" si="25">SUM(BA43,BA45:BA47)</f>
        <v>100918.68498524875</v>
      </c>
      <c r="BB50">
        <f t="shared" si="25"/>
        <v>99811.733676920732</v>
      </c>
      <c r="BC50">
        <f t="shared" si="25"/>
        <v>118005.7318154278</v>
      </c>
      <c r="BD50">
        <f t="shared" si="25"/>
        <v>96591.608073166048</v>
      </c>
      <c r="BE50">
        <f t="shared" si="25"/>
        <v>127654.21357911857</v>
      </c>
      <c r="BF50">
        <f t="shared" si="25"/>
        <v>119353.74603813732</v>
      </c>
      <c r="BG50">
        <f t="shared" si="25"/>
        <v>127443.95559088333</v>
      </c>
      <c r="BH50">
        <f t="shared" si="25"/>
        <v>144383.05176162042</v>
      </c>
      <c r="BI50">
        <f t="shared" si="25"/>
        <v>96995.551603613232</v>
      </c>
      <c r="BJ50">
        <f t="shared" si="25"/>
        <v>121525.70501872111</v>
      </c>
      <c r="BN50" t="s">
        <v>194</v>
      </c>
      <c r="BO50">
        <f t="shared" ref="BO50:BX50" si="26">SUM(BO43,BO45:BO47)</f>
        <v>135181.44619128088</v>
      </c>
      <c r="BP50">
        <f t="shared" si="26"/>
        <v>137013.61945193179</v>
      </c>
      <c r="BQ50">
        <f t="shared" si="26"/>
        <v>170320.08958856799</v>
      </c>
      <c r="BR50">
        <f t="shared" si="26"/>
        <v>140954.16395381826</v>
      </c>
      <c r="BS50">
        <f t="shared" si="26"/>
        <v>202028.37582038325</v>
      </c>
      <c r="BT50">
        <f t="shared" si="26"/>
        <v>173706.81897172573</v>
      </c>
      <c r="BU50">
        <f t="shared" si="26"/>
        <v>181672.99251744489</v>
      </c>
      <c r="BV50">
        <f t="shared" si="26"/>
        <v>229615.61334881873</v>
      </c>
      <c r="BW50">
        <f t="shared" si="26"/>
        <v>147357.77325260526</v>
      </c>
      <c r="BX50">
        <f t="shared" si="26"/>
        <v>187684.5907743909</v>
      </c>
      <c r="CB50" t="s">
        <v>194</v>
      </c>
      <c r="CC50">
        <f t="shared" ref="CC50:CL50" si="27">SUM(CC43,CC45:CC47)</f>
        <v>131286.1865221133</v>
      </c>
      <c r="CD50">
        <f t="shared" si="27"/>
        <v>133060.87264399818</v>
      </c>
      <c r="CE50">
        <f t="shared" si="27"/>
        <v>174158.97294022376</v>
      </c>
      <c r="CF50">
        <f t="shared" si="27"/>
        <v>136928.39317991218</v>
      </c>
      <c r="CG50">
        <f t="shared" si="27"/>
        <v>206649.12477217888</v>
      </c>
      <c r="CH50">
        <f t="shared" si="27"/>
        <v>174059.92380681052</v>
      </c>
      <c r="CI50">
        <f t="shared" si="27"/>
        <v>175615.23042109841</v>
      </c>
      <c r="CJ50">
        <f t="shared" si="27"/>
        <v>219564.64958360413</v>
      </c>
      <c r="CK50">
        <f t="shared" si="27"/>
        <v>141576.6470200232</v>
      </c>
      <c r="CL50">
        <f t="shared" si="27"/>
        <v>177190.79244337097</v>
      </c>
    </row>
    <row r="51" spans="11:90" ht="14.5" x14ac:dyDescent="0.35">
      <c r="AM51" t="s">
        <v>194</v>
      </c>
      <c r="AN51">
        <f t="shared" ref="AN51:AW51" si="28">SUM(AN45,AN43,AN46:AN47)</f>
        <v>118456.22661309601</v>
      </c>
      <c r="AO51">
        <f t="shared" si="28"/>
        <v>150112.89100336173</v>
      </c>
      <c r="AP51">
        <f t="shared" si="28"/>
        <v>113873.83737288343</v>
      </c>
      <c r="AQ51">
        <f t="shared" si="28"/>
        <v>105852.30546579379</v>
      </c>
      <c r="AR51">
        <f t="shared" si="28"/>
        <v>98713.188926700095</v>
      </c>
      <c r="AS51">
        <f t="shared" si="28"/>
        <v>133749.02128799562</v>
      </c>
      <c r="AT51">
        <f t="shared" si="28"/>
        <v>137269.84826833144</v>
      </c>
      <c r="AU51">
        <f t="shared" si="28"/>
        <v>120735.90698745656</v>
      </c>
      <c r="AV51">
        <f t="shared" si="28"/>
        <v>75357.278153147519</v>
      </c>
      <c r="AW51">
        <f t="shared" si="28"/>
        <v>68535.637914572479</v>
      </c>
      <c r="AZ51" t="s">
        <v>335</v>
      </c>
      <c r="BA51">
        <f t="shared" ref="BA51:BJ51" si="29">BA50-BA41</f>
        <v>8239.7031773232156</v>
      </c>
      <c r="BB51">
        <f t="shared" si="29"/>
        <v>18717.6245949859</v>
      </c>
      <c r="BC51">
        <f t="shared" si="29"/>
        <v>36911.622733492972</v>
      </c>
      <c r="BD51">
        <f t="shared" si="29"/>
        <v>-7672.2464607501752</v>
      </c>
      <c r="BE51">
        <f t="shared" si="29"/>
        <v>-6730.3100423734577</v>
      </c>
      <c r="BF51">
        <f t="shared" si="29"/>
        <v>-8079.8539477602899</v>
      </c>
      <c r="BG51">
        <f t="shared" si="29"/>
        <v>-8099.0553032077732</v>
      </c>
      <c r="BH51">
        <f t="shared" si="29"/>
        <v>16949.451775722802</v>
      </c>
      <c r="BI51">
        <f t="shared" si="29"/>
        <v>-65192.666560256432</v>
      </c>
      <c r="BJ51">
        <f t="shared" si="29"/>
        <v>-5907.8949671765004</v>
      </c>
      <c r="BN51" t="s">
        <v>335</v>
      </c>
      <c r="BO51">
        <f t="shared" ref="BO51:BX51" si="30">BO50-BO41</f>
        <v>46304.884543580323</v>
      </c>
      <c r="BP51">
        <f t="shared" si="30"/>
        <v>59246.628010193803</v>
      </c>
      <c r="BQ51">
        <f t="shared" si="30"/>
        <v>92553.098146830001</v>
      </c>
      <c r="BR51">
        <f t="shared" si="30"/>
        <v>46522.817203136423</v>
      </c>
      <c r="BS51">
        <f t="shared" si="30"/>
        <v>68713.533348832425</v>
      </c>
      <c r="BT51">
        <f t="shared" si="30"/>
        <v>44835.804582559926</v>
      </c>
      <c r="BU51">
        <f t="shared" si="30"/>
        <v>48358.150045894057</v>
      </c>
      <c r="BV51">
        <f t="shared" si="30"/>
        <v>100744.59895965293</v>
      </c>
      <c r="BW51">
        <f t="shared" si="30"/>
        <v>-8176.209630870726</v>
      </c>
      <c r="BX51">
        <f t="shared" si="30"/>
        <v>63257.404467610133</v>
      </c>
      <c r="CB51" t="s">
        <v>335</v>
      </c>
      <c r="CC51">
        <f t="shared" ref="CC51:CL51" si="31">CC50-CC41</f>
        <v>40660.052653304738</v>
      </c>
      <c r="CD51">
        <f t="shared" si="31"/>
        <v>53763.00550879068</v>
      </c>
      <c r="CE51">
        <f t="shared" si="31"/>
        <v>94861.105805016254</v>
      </c>
      <c r="CF51">
        <f t="shared" si="31"/>
        <v>46302.259311103611</v>
      </c>
      <c r="CG51">
        <f t="shared" si="31"/>
        <v>75241.230662406451</v>
      </c>
      <c r="CH51">
        <f t="shared" si="31"/>
        <v>38120.723003597668</v>
      </c>
      <c r="CI51">
        <f t="shared" si="31"/>
        <v>35144.722924445145</v>
      </c>
      <c r="CJ51">
        <f t="shared" si="31"/>
        <v>88156.755473831698</v>
      </c>
      <c r="CK51">
        <f t="shared" si="31"/>
        <v>16965.712950411413</v>
      </c>
      <c r="CL51">
        <f t="shared" si="31"/>
        <v>52579.858373759183</v>
      </c>
    </row>
    <row r="52" spans="11:90" ht="14.5" x14ac:dyDescent="0.35">
      <c r="AM52" t="s">
        <v>204</v>
      </c>
      <c r="AN52">
        <f t="shared" ref="AN52:AW52" si="32">AN51-AN41</f>
        <v>33680.403183554416</v>
      </c>
      <c r="AO52">
        <f t="shared" si="32"/>
        <v>75934.045502512832</v>
      </c>
      <c r="AP52">
        <f t="shared" si="32"/>
        <v>39694.99187203453</v>
      </c>
      <c r="AQ52">
        <f t="shared" si="32"/>
        <v>15777.993071905847</v>
      </c>
      <c r="AR52">
        <f t="shared" si="32"/>
        <v>-25271.452839004487</v>
      </c>
      <c r="AS52">
        <f t="shared" si="32"/>
        <v>1286.7971793368633</v>
      </c>
      <c r="AT52">
        <f t="shared" si="32"/>
        <v>10106.11312401903</v>
      </c>
      <c r="AU52">
        <f t="shared" si="32"/>
        <v>-3248.734778248021</v>
      </c>
      <c r="AV52">
        <f t="shared" si="32"/>
        <v>-78298.901812896627</v>
      </c>
      <c r="AW52">
        <f t="shared" si="32"/>
        <v>-54389.306058262839</v>
      </c>
    </row>
    <row r="53" spans="11:90" ht="15" customHeight="1" x14ac:dyDescent="0.35">
      <c r="K53" t="s">
        <v>314</v>
      </c>
      <c r="AM53" t="s">
        <v>336</v>
      </c>
      <c r="AN53">
        <f t="shared" ref="AN53:AW53" si="33">AN50+AN52</f>
        <v>33680.403183554416</v>
      </c>
      <c r="AO53">
        <f t="shared" si="33"/>
        <v>109614.44868606725</v>
      </c>
      <c r="AP53">
        <f t="shared" si="33"/>
        <v>149309.44055810178</v>
      </c>
      <c r="AQ53">
        <f t="shared" si="33"/>
        <v>165087.43363000761</v>
      </c>
      <c r="AR53">
        <f t="shared" si="33"/>
        <v>139815.98079100312</v>
      </c>
      <c r="AS53">
        <f t="shared" si="33"/>
        <v>141102.77797033999</v>
      </c>
      <c r="AT53">
        <f t="shared" si="33"/>
        <v>151208.89109435902</v>
      </c>
      <c r="AU53">
        <f t="shared" si="33"/>
        <v>147960.15631611098</v>
      </c>
      <c r="AV53">
        <f t="shared" si="33"/>
        <v>69661.254503214353</v>
      </c>
      <c r="AW53">
        <f t="shared" si="33"/>
        <v>15271.948444951515</v>
      </c>
    </row>
    <row r="54" spans="11:90" ht="15" customHeight="1" x14ac:dyDescent="0.35">
      <c r="K54" t="s">
        <v>318</v>
      </c>
      <c r="AM54" t="s">
        <v>250</v>
      </c>
      <c r="AN54">
        <f t="shared" ref="AN54:AW54" si="34">IF(AN53&lt;0,0,AN53)</f>
        <v>33680.403183554416</v>
      </c>
      <c r="AO54">
        <f t="shared" si="34"/>
        <v>109614.44868606725</v>
      </c>
      <c r="AP54">
        <f t="shared" si="34"/>
        <v>149309.44055810178</v>
      </c>
      <c r="AQ54">
        <f t="shared" si="34"/>
        <v>165087.43363000761</v>
      </c>
      <c r="AR54">
        <f t="shared" si="34"/>
        <v>139815.98079100312</v>
      </c>
      <c r="AS54">
        <f t="shared" si="34"/>
        <v>141102.77797033999</v>
      </c>
      <c r="AT54">
        <f t="shared" si="34"/>
        <v>151208.89109435902</v>
      </c>
      <c r="AU54">
        <f t="shared" si="34"/>
        <v>147960.15631611098</v>
      </c>
      <c r="AV54">
        <f t="shared" si="34"/>
        <v>69661.254503214353</v>
      </c>
      <c r="AW54">
        <f t="shared" si="34"/>
        <v>15271.948444951515</v>
      </c>
    </row>
    <row r="55" spans="11:90" ht="15" customHeight="1" x14ac:dyDescent="0.35">
      <c r="AM55" t="s">
        <v>337</v>
      </c>
      <c r="AN55">
        <f t="shared" ref="AN55:AW55" si="35">IF(AN50+AN51-AN41&gt;0,0,AN50+AN51-AN41)</f>
        <v>0</v>
      </c>
      <c r="AO55">
        <f t="shared" si="35"/>
        <v>0</v>
      </c>
      <c r="AP55">
        <f t="shared" si="35"/>
        <v>0</v>
      </c>
      <c r="AQ55">
        <f t="shared" si="35"/>
        <v>0</v>
      </c>
      <c r="AR55">
        <f t="shared" si="35"/>
        <v>0</v>
      </c>
      <c r="AS55">
        <f t="shared" si="35"/>
        <v>0</v>
      </c>
      <c r="AT55">
        <f t="shared" si="35"/>
        <v>0</v>
      </c>
      <c r="AU55">
        <f t="shared" si="35"/>
        <v>0</v>
      </c>
      <c r="AV55">
        <f t="shared" si="35"/>
        <v>0</v>
      </c>
      <c r="AW55">
        <f t="shared" si="35"/>
        <v>0</v>
      </c>
      <c r="AZ55" t="s">
        <v>338</v>
      </c>
      <c r="BA55">
        <f>SUMIF(BA51:BJ51,"&lt;0")</f>
        <v>-101682.02728152463</v>
      </c>
      <c r="BN55" t="s">
        <v>338</v>
      </c>
      <c r="BO55">
        <f>SUMIF(BO51:BX51,"&lt;0")</f>
        <v>-8176.209630870726</v>
      </c>
      <c r="CB55" t="s">
        <v>338</v>
      </c>
      <c r="CC55">
        <f>SUMIF(CC51:CL51,"&lt;0")</f>
        <v>0</v>
      </c>
    </row>
    <row r="57" spans="11:90" ht="15" customHeight="1" x14ac:dyDescent="0.35">
      <c r="AM57" t="s">
        <v>338</v>
      </c>
      <c r="AN57">
        <f>SUMIF(AN52:AW52,"&lt;0")</f>
        <v>-161208.39548841197</v>
      </c>
    </row>
    <row r="66" spans="39:80" ht="15" customHeight="1" x14ac:dyDescent="0.35">
      <c r="BM66" t="s">
        <v>215</v>
      </c>
    </row>
    <row r="69" spans="39:80" ht="15" customHeight="1" x14ac:dyDescent="0.35">
      <c r="BZ69" t="s">
        <v>183</v>
      </c>
    </row>
    <row r="70" spans="39:80" ht="15" customHeight="1" x14ac:dyDescent="0.35">
      <c r="BN70" t="s">
        <v>181</v>
      </c>
      <c r="BO70">
        <v>1182068.8709677418</v>
      </c>
    </row>
    <row r="71" spans="39:80" ht="15" customHeight="1" x14ac:dyDescent="0.35">
      <c r="BN71" t="s">
        <v>201</v>
      </c>
      <c r="BO71">
        <f>4846.8064516129+AH14/31</f>
        <v>825543.36451612902</v>
      </c>
    </row>
    <row r="72" spans="39:80" ht="15" customHeight="1" x14ac:dyDescent="0.35">
      <c r="BN72" t="s">
        <v>93</v>
      </c>
      <c r="BO72">
        <f>1737.96774193548+AG14/31</f>
        <v>14292.806451612898</v>
      </c>
    </row>
    <row r="73" spans="39:80" ht="15" customHeight="1" x14ac:dyDescent="0.35">
      <c r="BN73" t="s">
        <v>170</v>
      </c>
      <c r="BO73">
        <v>425065.6451612903</v>
      </c>
      <c r="CA73" t="s">
        <v>181</v>
      </c>
      <c r="CB73">
        <v>1233085.8709677418</v>
      </c>
    </row>
    <row r="74" spans="39:80" ht="15" customHeight="1" x14ac:dyDescent="0.35">
      <c r="AM74" t="s">
        <v>173</v>
      </c>
      <c r="AZ74" t="s">
        <v>179</v>
      </c>
      <c r="BN74" t="s">
        <v>172</v>
      </c>
      <c r="BO74">
        <v>74198.580645161288</v>
      </c>
      <c r="CA74" t="s">
        <v>201</v>
      </c>
      <c r="CB74">
        <f>23997.9677419355+AH15/31</f>
        <v>463160.77741935488</v>
      </c>
    </row>
    <row r="75" spans="39:80" ht="15" customHeight="1" x14ac:dyDescent="0.35">
      <c r="CA75" t="s">
        <v>93</v>
      </c>
      <c r="CB75">
        <f>1527.87096774194+AG15/31</f>
        <v>14518.193548387102</v>
      </c>
    </row>
    <row r="76" spans="39:80" ht="15" customHeight="1" x14ac:dyDescent="0.35">
      <c r="BA76" t="s">
        <v>181</v>
      </c>
      <c r="BB76">
        <v>1788324.3333333333</v>
      </c>
      <c r="CA76" t="s">
        <v>170</v>
      </c>
      <c r="CB76">
        <v>473397.58064516127</v>
      </c>
    </row>
    <row r="77" spans="39:80" ht="15" customHeight="1" x14ac:dyDescent="0.35">
      <c r="AN77" t="s">
        <v>181</v>
      </c>
      <c r="AO77">
        <v>519508.25806451612</v>
      </c>
      <c r="BA77" t="s">
        <v>201</v>
      </c>
      <c r="BB77">
        <f>78108.8666666667+AH13/31</f>
        <v>769779.20860215055</v>
      </c>
      <c r="CA77" t="s">
        <v>172</v>
      </c>
      <c r="CB77">
        <v>71211.387096774197</v>
      </c>
    </row>
    <row r="78" spans="39:80" ht="15" customHeight="1" x14ac:dyDescent="0.35">
      <c r="AN78" t="s">
        <v>201</v>
      </c>
      <c r="AO78">
        <f>64045.2580645161+AH12/31</f>
        <v>650080.32580645161</v>
      </c>
      <c r="BA78" t="s">
        <v>93</v>
      </c>
      <c r="BB78">
        <f>1450.36666666667+AG13/31</f>
        <v>13205.205376344089</v>
      </c>
    </row>
    <row r="79" spans="39:80" ht="15" customHeight="1" x14ac:dyDescent="0.35">
      <c r="AN79" t="s">
        <v>93</v>
      </c>
      <c r="AO79">
        <f>1447.41935483871+AG12/31</f>
        <v>13595.806451612902</v>
      </c>
    </row>
    <row r="84" spans="39:88" ht="15" customHeight="1" x14ac:dyDescent="0.35">
      <c r="AN84" t="s">
        <v>154</v>
      </c>
      <c r="AO84" t="s">
        <v>155</v>
      </c>
      <c r="AP84" t="s">
        <v>156</v>
      </c>
      <c r="AQ84" t="s">
        <v>157</v>
      </c>
      <c r="AR84" t="s">
        <v>158</v>
      </c>
      <c r="AS84" t="s">
        <v>159</v>
      </c>
      <c r="AT84" t="s">
        <v>160</v>
      </c>
      <c r="AU84" t="s">
        <v>161</v>
      </c>
      <c r="AV84" t="s">
        <v>162</v>
      </c>
      <c r="AW84" t="s">
        <v>163</v>
      </c>
      <c r="BA84" t="s">
        <v>154</v>
      </c>
      <c r="BB84" t="s">
        <v>155</v>
      </c>
      <c r="BC84" t="s">
        <v>156</v>
      </c>
      <c r="BD84" t="s">
        <v>157</v>
      </c>
      <c r="BE84" t="s">
        <v>158</v>
      </c>
      <c r="BF84" t="s">
        <v>159</v>
      </c>
      <c r="BG84" t="s">
        <v>160</v>
      </c>
      <c r="BH84" t="s">
        <v>161</v>
      </c>
      <c r="BI84" t="s">
        <v>162</v>
      </c>
      <c r="BJ84" t="s">
        <v>163</v>
      </c>
      <c r="BN84" t="s">
        <v>154</v>
      </c>
      <c r="BO84" t="s">
        <v>155</v>
      </c>
      <c r="BP84" t="s">
        <v>156</v>
      </c>
      <c r="BQ84" t="s">
        <v>157</v>
      </c>
      <c r="BR84" t="s">
        <v>158</v>
      </c>
      <c r="BS84" t="s">
        <v>159</v>
      </c>
      <c r="BT84" t="s">
        <v>160</v>
      </c>
      <c r="BU84" t="s">
        <v>161</v>
      </c>
      <c r="BV84" t="s">
        <v>162</v>
      </c>
      <c r="BW84" t="s">
        <v>163</v>
      </c>
      <c r="CA84" t="s">
        <v>154</v>
      </c>
      <c r="CB84" t="s">
        <v>155</v>
      </c>
      <c r="CC84" t="s">
        <v>156</v>
      </c>
      <c r="CD84" t="s">
        <v>157</v>
      </c>
      <c r="CE84" t="s">
        <v>158</v>
      </c>
      <c r="CF84" t="s">
        <v>159</v>
      </c>
      <c r="CG84" t="s">
        <v>160</v>
      </c>
      <c r="CH84" t="s">
        <v>161</v>
      </c>
      <c r="CI84" t="s">
        <v>162</v>
      </c>
      <c r="CJ84" t="s">
        <v>163</v>
      </c>
    </row>
    <row r="85" spans="39:88" ht="15" customHeight="1" x14ac:dyDescent="0.35">
      <c r="AM85" t="s">
        <v>181</v>
      </c>
      <c r="AN85">
        <v>8.3160083160083165E-2</v>
      </c>
      <c r="AO85">
        <v>7.2765072765072769E-2</v>
      </c>
      <c r="AP85">
        <v>7.2765072765072769E-2</v>
      </c>
      <c r="AQ85">
        <v>7.9002079002079006E-2</v>
      </c>
      <c r="AR85">
        <v>0.10810810810810811</v>
      </c>
      <c r="AS85">
        <v>0.12474012474012475</v>
      </c>
      <c r="AT85">
        <v>0.12474012474012475</v>
      </c>
      <c r="AU85">
        <v>0.11226611226611227</v>
      </c>
      <c r="AV85">
        <v>0.10810810810810811</v>
      </c>
      <c r="AW85">
        <v>0.11434511434511435</v>
      </c>
      <c r="AZ85" t="s">
        <v>181</v>
      </c>
      <c r="BA85">
        <v>8.3582089552238809E-2</v>
      </c>
      <c r="BB85">
        <v>7.9601990049751242E-2</v>
      </c>
      <c r="BC85">
        <v>6.965174129353234E-2</v>
      </c>
      <c r="BD85">
        <v>7.5621890547263676E-2</v>
      </c>
      <c r="BE85">
        <v>0.10348258706467661</v>
      </c>
      <c r="BF85">
        <v>0.12338308457711443</v>
      </c>
      <c r="BG85">
        <v>0.12338308457711443</v>
      </c>
      <c r="BH85">
        <v>0.1154228855721393</v>
      </c>
      <c r="BI85">
        <v>0.10945273631840796</v>
      </c>
      <c r="BJ85">
        <v>0.11641791044776119</v>
      </c>
      <c r="BM85" t="s">
        <v>181</v>
      </c>
      <c r="BN85">
        <v>8.5790884718498661E-2</v>
      </c>
      <c r="BO85">
        <v>7.5067024128686322E-2</v>
      </c>
      <c r="BP85">
        <v>7.1492403932082213E-2</v>
      </c>
      <c r="BQ85">
        <v>7.1492403932082213E-2</v>
      </c>
      <c r="BR85">
        <v>0.10366398570151922</v>
      </c>
      <c r="BS85">
        <v>0.12511170688114387</v>
      </c>
      <c r="BT85">
        <v>0.12511170688114387</v>
      </c>
      <c r="BU85">
        <v>0.12511170688114387</v>
      </c>
      <c r="BV85">
        <v>0.10723860589812333</v>
      </c>
      <c r="BW85">
        <v>0.10991957104557641</v>
      </c>
      <c r="BZ85" t="s">
        <v>181</v>
      </c>
      <c r="CA85">
        <v>8.4805653710247356E-2</v>
      </c>
      <c r="CB85">
        <v>7.4204946996466431E-2</v>
      </c>
      <c r="CC85">
        <v>7.0671378091872794E-2</v>
      </c>
      <c r="CD85">
        <v>7.4204946996466431E-2</v>
      </c>
      <c r="CE85">
        <v>0.10247349823321555</v>
      </c>
      <c r="CF85">
        <v>0.12367491166077739</v>
      </c>
      <c r="CG85">
        <v>0.12367491166077739</v>
      </c>
      <c r="CH85">
        <v>0.12367491166077739</v>
      </c>
      <c r="CI85">
        <v>0.10954063604240283</v>
      </c>
      <c r="CJ85">
        <v>0.11307420494699646</v>
      </c>
    </row>
    <row r="86" spans="39:88" ht="15" customHeight="1" x14ac:dyDescent="0.35">
      <c r="AM86" t="s">
        <v>181</v>
      </c>
      <c r="AN86">
        <v>43202.349942995104</v>
      </c>
      <c r="AO86">
        <v>37802.056200120714</v>
      </c>
      <c r="AP86">
        <v>37802.056200120714</v>
      </c>
      <c r="AQ86">
        <v>41042.232445845351</v>
      </c>
      <c r="AR86">
        <v>56163.054925893637</v>
      </c>
      <c r="AS86">
        <v>64803.524914492657</v>
      </c>
      <c r="AT86">
        <v>64803.524914492657</v>
      </c>
      <c r="AU86">
        <v>58323.17242304339</v>
      </c>
      <c r="AV86">
        <v>56163.054925893637</v>
      </c>
      <c r="AW86">
        <v>59403.231171618274</v>
      </c>
      <c r="AZ86" t="s">
        <v>181</v>
      </c>
      <c r="BA86">
        <v>149471.88457711443</v>
      </c>
      <c r="BB86">
        <v>142354.17578772802</v>
      </c>
      <c r="BC86">
        <v>124559.90381426203</v>
      </c>
      <c r="BD86">
        <v>135236.46699834161</v>
      </c>
      <c r="BE86">
        <v>185060.42852404641</v>
      </c>
      <c r="BF86">
        <v>220648.97247097842</v>
      </c>
      <c r="BG86">
        <v>220648.97247097842</v>
      </c>
      <c r="BH86">
        <v>206413.5548922056</v>
      </c>
      <c r="BI86">
        <v>195736.99170812604</v>
      </c>
      <c r="BJ86">
        <v>208192.98208955221</v>
      </c>
      <c r="BM86" t="s">
        <v>181</v>
      </c>
      <c r="BN86">
        <v>101410.73423851941</v>
      </c>
      <c r="BO86">
        <v>88734.392458704475</v>
      </c>
      <c r="BP86">
        <v>84508.945198766174</v>
      </c>
      <c r="BQ86">
        <v>84508.945198766174</v>
      </c>
      <c r="BR86">
        <v>122537.97053821095</v>
      </c>
      <c r="BS86">
        <v>147890.6540978408</v>
      </c>
      <c r="BT86">
        <v>147890.6540978408</v>
      </c>
      <c r="BU86">
        <v>147890.6540978408</v>
      </c>
      <c r="BV86">
        <v>126763.41779814925</v>
      </c>
      <c r="BW86">
        <v>129932.503243103</v>
      </c>
      <c r="BZ86" t="s">
        <v>181</v>
      </c>
      <c r="CA86">
        <v>104572.65336828907</v>
      </c>
      <c r="CB86">
        <v>91501.071697252934</v>
      </c>
      <c r="CC86">
        <v>87143.877806907549</v>
      </c>
      <c r="CD86">
        <v>91501.071697252934</v>
      </c>
      <c r="CE86">
        <v>126358.62282001595</v>
      </c>
      <c r="CF86">
        <v>152501.78616208822</v>
      </c>
      <c r="CG86">
        <v>152501.78616208822</v>
      </c>
      <c r="CH86">
        <v>152501.78616208822</v>
      </c>
      <c r="CI86">
        <v>135073.01060070671</v>
      </c>
      <c r="CJ86">
        <v>139430.20449105208</v>
      </c>
    </row>
    <row r="87" spans="39:88" ht="15" customHeight="1" x14ac:dyDescent="0.35">
      <c r="AM87" t="s">
        <v>184</v>
      </c>
      <c r="AN87">
        <v>6.9658165050941884E-2</v>
      </c>
      <c r="AO87">
        <v>6.4872792462538797E-2</v>
      </c>
      <c r="AP87">
        <v>8.9589626188245328E-2</v>
      </c>
      <c r="AQ87">
        <v>6.1416670268377549E-2</v>
      </c>
      <c r="AR87">
        <v>0.13324707705508615</v>
      </c>
      <c r="AS87">
        <v>0.10761305877858407</v>
      </c>
      <c r="AT87">
        <v>0.11245340908975217</v>
      </c>
      <c r="AU87">
        <v>0.15846120095251701</v>
      </c>
      <c r="AV87">
        <v>8.8891284899597078E-2</v>
      </c>
      <c r="AW87">
        <v>0.11379671525436008</v>
      </c>
      <c r="AZ87" t="s">
        <v>184</v>
      </c>
      <c r="BA87">
        <v>7.0480091151227622E-2</v>
      </c>
      <c r="BB87">
        <v>7.2345359820887384E-2</v>
      </c>
      <c r="BC87">
        <v>0.11077457452214806</v>
      </c>
      <c r="BD87">
        <v>7.7941473731594976E-2</v>
      </c>
      <c r="BE87">
        <v>0.13314209556992532</v>
      </c>
      <c r="BF87">
        <v>9.8434643008729464E-2</v>
      </c>
      <c r="BG87">
        <v>0.10440639702788618</v>
      </c>
      <c r="BH87">
        <v>0.14681062304068659</v>
      </c>
      <c r="BI87">
        <v>8.1079762096650645E-2</v>
      </c>
      <c r="BJ87">
        <v>0.10458498003026365</v>
      </c>
      <c r="BM87" t="s">
        <v>184</v>
      </c>
      <c r="BN87">
        <v>6.6394582430371177E-2</v>
      </c>
      <c r="BO87">
        <v>6.6965867345204516E-2</v>
      </c>
      <c r="BP87">
        <v>0.10017499645547201</v>
      </c>
      <c r="BQ87">
        <v>6.6472763643766961E-2</v>
      </c>
      <c r="BR87">
        <v>0.13342500463096338</v>
      </c>
      <c r="BS87">
        <v>0.10545350553525126</v>
      </c>
      <c r="BT87">
        <v>0.11223517179195519</v>
      </c>
      <c r="BU87">
        <v>0.10844278705049484</v>
      </c>
      <c r="BV87">
        <v>8.6649987991733596E-2</v>
      </c>
      <c r="BW87">
        <v>0.10410534807231428</v>
      </c>
      <c r="BZ87" t="s">
        <v>184</v>
      </c>
      <c r="CA87">
        <v>6.4089044389252406E-2</v>
      </c>
      <c r="CB87">
        <v>6.4414493736173736E-2</v>
      </c>
      <c r="CC87">
        <v>9.0656680179136681E-2</v>
      </c>
      <c r="CD87">
        <v>0.10417325327739629</v>
      </c>
      <c r="CE87">
        <v>0.13795902012473149</v>
      </c>
      <c r="CF87">
        <v>0.11978054381657233</v>
      </c>
      <c r="CG87">
        <v>0.12554956405406609</v>
      </c>
      <c r="CH87">
        <v>0.16337058548203051</v>
      </c>
      <c r="CI87">
        <v>7.5993328738739513E-2</v>
      </c>
      <c r="CJ87">
        <v>9.309233763516013E-2</v>
      </c>
    </row>
    <row r="88" spans="39:88" ht="15" customHeight="1" x14ac:dyDescent="0.35">
      <c r="AM88" t="s">
        <v>185</v>
      </c>
      <c r="AN88">
        <f t="shared" ref="AN88:AW88" si="36">$AO$78*AN87</f>
        <v>45283.402631395882</v>
      </c>
      <c r="AO88">
        <f t="shared" si="36"/>
        <v>42172.526060021541</v>
      </c>
      <c r="AP88">
        <f t="shared" si="36"/>
        <v>58240.453381332729</v>
      </c>
      <c r="AQ88">
        <f t="shared" si="36"/>
        <v>39925.769018014289</v>
      </c>
      <c r="AR88">
        <f t="shared" si="36"/>
        <v>86621.303264727772</v>
      </c>
      <c r="AS88">
        <f t="shared" si="36"/>
        <v>69957.132311810754</v>
      </c>
      <c r="AT88">
        <f t="shared" si="36"/>
        <v>73103.748819112283</v>
      </c>
      <c r="AU88">
        <f t="shared" si="36"/>
        <v>103012.50914289386</v>
      </c>
      <c r="AV88">
        <f t="shared" si="36"/>
        <v>57786.475448884179</v>
      </c>
      <c r="AW88">
        <f t="shared" si="36"/>
        <v>73977.005728258402</v>
      </c>
      <c r="AZ88" t="s">
        <v>185</v>
      </c>
      <c r="BA88">
        <f t="shared" ref="BA88:BJ88" si="37">$BB$77*BA87</f>
        <v>54254.108788599435</v>
      </c>
      <c r="BB88">
        <f t="shared" si="37"/>
        <v>55689.953828960512</v>
      </c>
      <c r="BC88">
        <f t="shared" si="37"/>
        <v>85271.964308899085</v>
      </c>
      <c r="BD88">
        <f t="shared" si="37"/>
        <v>59997.725966392485</v>
      </c>
      <c r="BE88">
        <f t="shared" si="37"/>
        <v>102490.016959449</v>
      </c>
      <c r="BF88">
        <f t="shared" si="37"/>
        <v>75772.941594294985</v>
      </c>
      <c r="BG88">
        <f t="shared" si="37"/>
        <v>80369.87367712814</v>
      </c>
      <c r="BH88">
        <f t="shared" si="37"/>
        <v>113011.76521864838</v>
      </c>
      <c r="BI88">
        <f t="shared" si="37"/>
        <v>62413.515100410375</v>
      </c>
      <c r="BJ88">
        <f t="shared" si="37"/>
        <v>80507.343159368073</v>
      </c>
      <c r="BM88" t="s">
        <v>185</v>
      </c>
      <c r="BN88">
        <f t="shared" ref="BN88:BW88" si="38">$BO$71*BN87</f>
        <v>54811.606965212086</v>
      </c>
      <c r="BO88">
        <f t="shared" si="38"/>
        <v>55283.22743590091</v>
      </c>
      <c r="BP88">
        <f t="shared" si="38"/>
        <v>82698.803614241668</v>
      </c>
      <c r="BQ88">
        <f t="shared" si="38"/>
        <v>54876.1489471608</v>
      </c>
      <c r="BR88">
        <f t="shared" si="38"/>
        <v>110148.12723362561</v>
      </c>
      <c r="BS88">
        <f t="shared" si="38"/>
        <v>87056.441759591558</v>
      </c>
      <c r="BT88">
        <f t="shared" si="38"/>
        <v>92655.001338176429</v>
      </c>
      <c r="BU88">
        <f t="shared" si="38"/>
        <v>89524.223279171623</v>
      </c>
      <c r="BV88">
        <f t="shared" si="38"/>
        <v>71533.322621977932</v>
      </c>
      <c r="BW88">
        <f t="shared" si="38"/>
        <v>85943.47931174103</v>
      </c>
      <c r="BZ88" t="s">
        <v>185</v>
      </c>
      <c r="CA88">
        <f t="shared" ref="CA88:CJ88" si="39">$CB$74*CA87</f>
        <v>29683.531623389688</v>
      </c>
      <c r="CB88">
        <f t="shared" si="39"/>
        <v>29834.266995920392</v>
      </c>
      <c r="CC88">
        <f t="shared" si="39"/>
        <v>41988.61847002677</v>
      </c>
      <c r="CD88">
        <f t="shared" si="39"/>
        <v>48248.964974262228</v>
      </c>
      <c r="CE88">
        <f t="shared" si="39"/>
        <v>63897.207012983061</v>
      </c>
      <c r="CF88">
        <f t="shared" si="39"/>
        <v>55477.649793796743</v>
      </c>
      <c r="CG88">
        <f t="shared" si="39"/>
        <v>58149.633691942341</v>
      </c>
      <c r="CH88">
        <f t="shared" si="39"/>
        <v>75666.847379312429</v>
      </c>
      <c r="CI88">
        <f t="shared" si="39"/>
        <v>35197.129217319198</v>
      </c>
      <c r="CJ88">
        <f t="shared" si="39"/>
        <v>43116.719470885837</v>
      </c>
    </row>
    <row r="89" spans="39:88" ht="15" customHeight="1" x14ac:dyDescent="0.35">
      <c r="AM89" t="s">
        <v>93</v>
      </c>
      <c r="AN89">
        <v>7.3839484103017855E-2</v>
      </c>
      <c r="AO89">
        <v>7.3836523780520025E-2</v>
      </c>
      <c r="AP89">
        <v>0.11081536684324697</v>
      </c>
      <c r="AQ89">
        <v>7.7240206651819257E-2</v>
      </c>
      <c r="AR89">
        <v>0.13943444893110551</v>
      </c>
      <c r="AS89">
        <v>0.10235734190440864</v>
      </c>
      <c r="AT89">
        <v>0.10095690068689643</v>
      </c>
      <c r="AU89">
        <v>0.13459763770699804</v>
      </c>
      <c r="AV89">
        <v>7.6162665056660445E-2</v>
      </c>
      <c r="AW89">
        <v>0.11075942433532662</v>
      </c>
      <c r="AZ89" t="s">
        <v>93</v>
      </c>
      <c r="BA89">
        <v>5.768422097466434E-5</v>
      </c>
      <c r="BB89">
        <v>2.5592451382869411E-5</v>
      </c>
      <c r="BC89">
        <v>1.0460109055229691E-3</v>
      </c>
      <c r="BD89">
        <v>3.1724543699943063E-2</v>
      </c>
      <c r="BE89">
        <v>0.22730474518283689</v>
      </c>
      <c r="BF89">
        <v>0.2520603041042685</v>
      </c>
      <c r="BG89">
        <v>0.25072328565974822</v>
      </c>
      <c r="BH89">
        <v>0.21035676389799066</v>
      </c>
      <c r="BI89">
        <v>2.6549274199081069E-2</v>
      </c>
      <c r="BJ89">
        <v>1.5179567825133035E-4</v>
      </c>
      <c r="BM89" t="s">
        <v>93</v>
      </c>
      <c r="BN89">
        <v>2.2063292811484158E-5</v>
      </c>
      <c r="BO89">
        <v>2.747048435959622E-5</v>
      </c>
      <c r="BP89">
        <v>4.5230447451048841E-4</v>
      </c>
      <c r="BQ89">
        <v>2.7528531987804594E-2</v>
      </c>
      <c r="BR89">
        <v>0.22980036032658482</v>
      </c>
      <c r="BS89">
        <v>0.24990914052004859</v>
      </c>
      <c r="BT89">
        <v>0.25107294147832776</v>
      </c>
      <c r="BU89">
        <v>0.16820574633572821</v>
      </c>
      <c r="BV89">
        <v>2.7213134953253674E-2</v>
      </c>
      <c r="BW89">
        <v>1.4398418920813757E-4</v>
      </c>
      <c r="BZ89" t="s">
        <v>93</v>
      </c>
      <c r="CA89">
        <v>2.7175530708417265E-5</v>
      </c>
      <c r="CB89">
        <v>4.2136585741907774E-5</v>
      </c>
      <c r="CC89">
        <v>8.0786138847351729E-5</v>
      </c>
      <c r="CD89">
        <v>5.5943067633313331E-2</v>
      </c>
      <c r="CE89">
        <v>0.25013092889282174</v>
      </c>
      <c r="CF89">
        <v>0.25390946587131535</v>
      </c>
      <c r="CG89">
        <v>0.24371333315049049</v>
      </c>
      <c r="CH89">
        <v>0.21494249681295882</v>
      </c>
      <c r="CI89">
        <v>1.8107349789584476E-2</v>
      </c>
      <c r="CJ89">
        <v>2.9051794904667314E-5</v>
      </c>
    </row>
    <row r="90" spans="39:88" ht="15" customHeight="1" x14ac:dyDescent="0.35">
      <c r="AM90" t="s">
        <v>189</v>
      </c>
      <c r="AN90">
        <f t="shared" ref="AN90:AW90" si="40">$AO$79*AN89</f>
        <v>1003.9073343515785</v>
      </c>
      <c r="AO90">
        <f t="shared" si="40"/>
        <v>1003.8670863798636</v>
      </c>
      <c r="AP90">
        <f t="shared" si="40"/>
        <v>1506.6242794652676</v>
      </c>
      <c r="AQ90">
        <f t="shared" si="40"/>
        <v>1050.142899920718</v>
      </c>
      <c r="AR90">
        <f t="shared" si="40"/>
        <v>1895.7237803546141</v>
      </c>
      <c r="AS90">
        <f t="shared" si="40"/>
        <v>1391.6306094339066</v>
      </c>
      <c r="AT90">
        <f t="shared" si="40"/>
        <v>1372.5904816937496</v>
      </c>
      <c r="AU90">
        <f t="shared" si="40"/>
        <v>1829.9634311086597</v>
      </c>
      <c r="AV90">
        <f t="shared" si="40"/>
        <v>1035.4928529493766</v>
      </c>
      <c r="AW90">
        <f t="shared" si="40"/>
        <v>1505.8636959551648</v>
      </c>
      <c r="AZ90" t="s">
        <v>189</v>
      </c>
      <c r="BA90">
        <f t="shared" ref="BA90:BJ90" si="41">$BB$78*BA89</f>
        <v>0.76173198494485805</v>
      </c>
      <c r="BB90">
        <f t="shared" si="41"/>
        <v>0.33795357659489184</v>
      </c>
      <c r="BC90">
        <f t="shared" si="41"/>
        <v>13.81278883332646</v>
      </c>
      <c r="BD90">
        <f t="shared" si="41"/>
        <v>418.92911502855111</v>
      </c>
      <c r="BE90">
        <f t="shared" si="41"/>
        <v>3001.6058431569209</v>
      </c>
      <c r="BF90">
        <f t="shared" si="41"/>
        <v>3328.5080829206122</v>
      </c>
      <c r="BG90">
        <f t="shared" si="41"/>
        <v>3310.8524797687619</v>
      </c>
      <c r="BH90">
        <f t="shared" si="41"/>
        <v>2777.8042695760905</v>
      </c>
      <c r="BI90">
        <f t="shared" si="41"/>
        <v>350.58861839173875</v>
      </c>
      <c r="BJ90">
        <f t="shared" si="41"/>
        <v>2.0044931065502651</v>
      </c>
      <c r="BM90" t="s">
        <v>189</v>
      </c>
      <c r="BN90">
        <f t="shared" ref="BN90:BW90" si="42">$BO$72*BN89</f>
        <v>0.31534637383980524</v>
      </c>
      <c r="BO90">
        <f t="shared" si="42"/>
        <v>0.39263031608376808</v>
      </c>
      <c r="BP90">
        <f t="shared" si="42"/>
        <v>6.4647003113768902</v>
      </c>
      <c r="BQ90">
        <f t="shared" si="42"/>
        <v>393.45997959872551</v>
      </c>
      <c r="BR90">
        <f t="shared" si="42"/>
        <v>3284.4920726587802</v>
      </c>
      <c r="BS90">
        <f t="shared" si="42"/>
        <v>3571.9029759419846</v>
      </c>
      <c r="BT90">
        <f t="shared" si="42"/>
        <v>3588.5369577868705</v>
      </c>
      <c r="BU90">
        <f t="shared" si="42"/>
        <v>2404.1321764256586</v>
      </c>
      <c r="BV90">
        <f t="shared" si="42"/>
        <v>388.95207082847656</v>
      </c>
      <c r="BW90">
        <f t="shared" si="42"/>
        <v>2.0579381484443209</v>
      </c>
      <c r="BZ90" t="s">
        <v>189</v>
      </c>
      <c r="CA90">
        <f t="shared" ref="CA90:CJ90" si="43">$CB$75*CA89</f>
        <v>0.39453961460493914</v>
      </c>
      <c r="CB90">
        <f t="shared" si="43"/>
        <v>0.61174710726922543</v>
      </c>
      <c r="CC90">
        <f t="shared" si="43"/>
        <v>1.1728687998127265</v>
      </c>
      <c r="CD90">
        <f t="shared" si="43"/>
        <v>812.19228359095291</v>
      </c>
      <c r="CE90">
        <f t="shared" si="43"/>
        <v>3631.4492381038376</v>
      </c>
      <c r="CF90">
        <f t="shared" si="43"/>
        <v>3686.3067692873456</v>
      </c>
      <c r="CG90">
        <f t="shared" si="43"/>
        <v>3538.2773410013674</v>
      </c>
      <c r="CH90">
        <f t="shared" si="43"/>
        <v>3120.5767705041139</v>
      </c>
      <c r="CI90">
        <f t="shared" si="43"/>
        <v>262.88600889353387</v>
      </c>
      <c r="CJ90">
        <f t="shared" si="43"/>
        <v>0.42177958135400628</v>
      </c>
    </row>
    <row r="91" spans="39:88" ht="15" customHeight="1" x14ac:dyDescent="0.35">
      <c r="AM91" t="s">
        <v>172</v>
      </c>
      <c r="AN91">
        <v>7692.4709677419351</v>
      </c>
      <c r="AO91">
        <v>7692.4709677419351</v>
      </c>
      <c r="AP91">
        <v>7692.4709677419351</v>
      </c>
      <c r="AQ91">
        <v>7692.4709677419351</v>
      </c>
      <c r="AR91">
        <v>7692.4709677419351</v>
      </c>
      <c r="AS91">
        <v>7692.4709677419351</v>
      </c>
      <c r="AT91">
        <v>7692.4709677419351</v>
      </c>
      <c r="AU91">
        <v>7692.4709677419351</v>
      </c>
      <c r="AV91">
        <v>7692.4709677419351</v>
      </c>
      <c r="AW91">
        <v>7692.4709677419351</v>
      </c>
      <c r="AZ91" t="s">
        <v>172</v>
      </c>
      <c r="BA91">
        <v>7830.4666666666672</v>
      </c>
      <c r="BB91">
        <v>7830.4666666666672</v>
      </c>
      <c r="BC91">
        <v>7830.4666666666672</v>
      </c>
      <c r="BD91">
        <v>7830.4666666666672</v>
      </c>
      <c r="BE91">
        <v>7830.4666666666672</v>
      </c>
      <c r="BF91">
        <v>7830.4666666666672</v>
      </c>
      <c r="BG91">
        <v>7830.4666666666672</v>
      </c>
      <c r="BH91">
        <v>7830.4666666666672</v>
      </c>
      <c r="BI91">
        <v>7830.4666666666672</v>
      </c>
      <c r="BJ91">
        <v>7830.4666666666672</v>
      </c>
      <c r="BM91" t="s">
        <v>172</v>
      </c>
      <c r="BN91">
        <v>7419.8580645161292</v>
      </c>
      <c r="BO91">
        <v>7419.8580645161292</v>
      </c>
      <c r="BP91">
        <v>7419.8580645161292</v>
      </c>
      <c r="BQ91">
        <v>7419.8580645161292</v>
      </c>
      <c r="BR91">
        <v>7419.8580645161292</v>
      </c>
      <c r="BS91">
        <v>7419.8580645161292</v>
      </c>
      <c r="BT91">
        <v>7419.8580645161292</v>
      </c>
      <c r="BU91">
        <v>7419.8580645161292</v>
      </c>
      <c r="BV91">
        <v>7419.8580645161292</v>
      </c>
      <c r="BW91">
        <v>7419.8580645161292</v>
      </c>
      <c r="BZ91" t="s">
        <v>172</v>
      </c>
      <c r="CA91">
        <v>7121.1387096774197</v>
      </c>
      <c r="CB91">
        <v>7121.1387096774197</v>
      </c>
      <c r="CC91">
        <v>7121.1387096774197</v>
      </c>
      <c r="CD91">
        <v>7121.1387096774197</v>
      </c>
      <c r="CE91">
        <v>7121.1387096774197</v>
      </c>
      <c r="CF91">
        <v>7121.1387096774197</v>
      </c>
      <c r="CG91">
        <v>7121.1387096774197</v>
      </c>
      <c r="CH91">
        <v>7121.1387096774197</v>
      </c>
      <c r="CI91">
        <v>7121.1387096774197</v>
      </c>
      <c r="CJ91">
        <v>7121.1387096774197</v>
      </c>
    </row>
    <row r="92" spans="39:88" ht="15" customHeight="1" x14ac:dyDescent="0.35">
      <c r="AM92" t="s">
        <v>170</v>
      </c>
      <c r="AN92">
        <v>45387.054838709679</v>
      </c>
      <c r="AO92">
        <v>45387.054838709679</v>
      </c>
      <c r="AP92">
        <v>45387.054838709679</v>
      </c>
      <c r="AQ92">
        <v>45387.054838709679</v>
      </c>
      <c r="AR92">
        <v>45387.054838709679</v>
      </c>
      <c r="AS92">
        <v>45387.054838709679</v>
      </c>
      <c r="AT92">
        <v>45387.054838709679</v>
      </c>
      <c r="AU92">
        <v>45387.054838709679</v>
      </c>
      <c r="AV92">
        <v>45387.054838709679</v>
      </c>
      <c r="AW92">
        <v>45387.054838709679</v>
      </c>
      <c r="AZ92" t="s">
        <v>170</v>
      </c>
      <c r="BA92">
        <f t="shared" ref="BA92:BJ92" si="44">41238.9966666667</f>
        <v>41238.996666666702</v>
      </c>
      <c r="BB92">
        <f t="shared" si="44"/>
        <v>41238.996666666702</v>
      </c>
      <c r="BC92">
        <f t="shared" si="44"/>
        <v>41238.996666666702</v>
      </c>
      <c r="BD92">
        <f t="shared" si="44"/>
        <v>41238.996666666702</v>
      </c>
      <c r="BE92">
        <f t="shared" si="44"/>
        <v>41238.996666666702</v>
      </c>
      <c r="BF92">
        <f t="shared" si="44"/>
        <v>41238.996666666702</v>
      </c>
      <c r="BG92">
        <f t="shared" si="44"/>
        <v>41238.996666666702</v>
      </c>
      <c r="BH92">
        <f t="shared" si="44"/>
        <v>41238.996666666702</v>
      </c>
      <c r="BI92">
        <f t="shared" si="44"/>
        <v>41238.996666666702</v>
      </c>
      <c r="BJ92">
        <f t="shared" si="44"/>
        <v>41238.996666666702</v>
      </c>
      <c r="BM92" t="s">
        <v>170</v>
      </c>
      <c r="BN92">
        <v>42506.56451612903</v>
      </c>
      <c r="BO92">
        <v>42506.56451612903</v>
      </c>
      <c r="BP92">
        <v>42506.56451612903</v>
      </c>
      <c r="BQ92">
        <v>42506.56451612903</v>
      </c>
      <c r="BR92">
        <v>42506.56451612903</v>
      </c>
      <c r="BS92">
        <v>42506.56451612903</v>
      </c>
      <c r="BT92">
        <v>42506.56451612903</v>
      </c>
      <c r="BU92">
        <v>42506.56451612903</v>
      </c>
      <c r="BV92">
        <v>42506.56451612903</v>
      </c>
      <c r="BW92">
        <v>42506.56451612903</v>
      </c>
      <c r="BZ92" t="s">
        <v>170</v>
      </c>
      <c r="CA92">
        <v>47339.758064516129</v>
      </c>
      <c r="CB92">
        <v>47339.758064516129</v>
      </c>
      <c r="CC92">
        <v>47339.758064516129</v>
      </c>
      <c r="CD92">
        <v>47339.758064516129</v>
      </c>
      <c r="CE92">
        <v>47339.758064516129</v>
      </c>
      <c r="CF92">
        <v>47339.758064516129</v>
      </c>
      <c r="CG92">
        <v>47339.758064516129</v>
      </c>
      <c r="CH92">
        <v>47339.758064516129</v>
      </c>
      <c r="CI92">
        <v>47339.758064516129</v>
      </c>
      <c r="CJ92">
        <v>47339.758064516129</v>
      </c>
    </row>
    <row r="94" spans="39:88" ht="15" customHeight="1" x14ac:dyDescent="0.35">
      <c r="AM94" t="s">
        <v>334</v>
      </c>
      <c r="AN94">
        <v>0</v>
      </c>
      <c r="AO94">
        <f t="shared" ref="AO94:AW94" si="45">AN98</f>
        <v>56164.485829203972</v>
      </c>
      <c r="AP94">
        <f t="shared" si="45"/>
        <v>114618.34858193627</v>
      </c>
      <c r="AQ94">
        <f t="shared" si="45"/>
        <v>189642.89584906516</v>
      </c>
      <c r="AR94">
        <f t="shared" si="45"/>
        <v>242656.10112760644</v>
      </c>
      <c r="AS94">
        <f t="shared" si="45"/>
        <v>328089.59905324678</v>
      </c>
      <c r="AT94">
        <f t="shared" si="45"/>
        <v>387714.36286645039</v>
      </c>
      <c r="AU94">
        <f t="shared" si="45"/>
        <v>450466.70305921539</v>
      </c>
      <c r="AV94">
        <f t="shared" si="45"/>
        <v>550065.52901662618</v>
      </c>
      <c r="AW94">
        <f t="shared" si="45"/>
        <v>605803.96819901769</v>
      </c>
      <c r="AZ94" t="s">
        <v>334</v>
      </c>
      <c r="BA94">
        <v>0</v>
      </c>
      <c r="BB94">
        <f t="shared" ref="BB94:BJ94" si="46">BA98</f>
        <v>0</v>
      </c>
      <c r="BC94">
        <f t="shared" si="46"/>
        <v>0</v>
      </c>
      <c r="BD94">
        <f t="shared" si="46"/>
        <v>9795.336616803761</v>
      </c>
      <c r="BE94">
        <f t="shared" si="46"/>
        <v>0</v>
      </c>
      <c r="BF94">
        <f t="shared" si="46"/>
        <v>0</v>
      </c>
      <c r="BG94">
        <f t="shared" si="46"/>
        <v>0</v>
      </c>
      <c r="BH94">
        <f t="shared" si="46"/>
        <v>0</v>
      </c>
      <c r="BI94">
        <f t="shared" si="46"/>
        <v>0</v>
      </c>
      <c r="BJ94">
        <f t="shared" si="46"/>
        <v>0</v>
      </c>
    </row>
    <row r="95" spans="39:88" ht="15" customHeight="1" x14ac:dyDescent="0.35">
      <c r="AM95" t="s">
        <v>194</v>
      </c>
      <c r="AN95">
        <f t="shared" ref="AN95:AW95" si="47">SUM(AN88,AN90:AN92)</f>
        <v>99366.835772199076</v>
      </c>
      <c r="AO95">
        <f t="shared" si="47"/>
        <v>96255.918952853011</v>
      </c>
      <c r="AP95">
        <f t="shared" si="47"/>
        <v>112826.6034672496</v>
      </c>
      <c r="AQ95">
        <f t="shared" si="47"/>
        <v>94055.437724386633</v>
      </c>
      <c r="AR95">
        <f t="shared" si="47"/>
        <v>141596.55285153398</v>
      </c>
      <c r="AS95">
        <f t="shared" si="47"/>
        <v>124428.28872769627</v>
      </c>
      <c r="AT95">
        <f t="shared" si="47"/>
        <v>127555.86510725765</v>
      </c>
      <c r="AU95">
        <f t="shared" si="47"/>
        <v>157921.99838045414</v>
      </c>
      <c r="AV95">
        <f t="shared" si="47"/>
        <v>111901.49410828517</v>
      </c>
      <c r="AW95">
        <f t="shared" si="47"/>
        <v>128562.39523066518</v>
      </c>
      <c r="AZ95" t="s">
        <v>194</v>
      </c>
      <c r="BA95">
        <f t="shared" ref="BA95:BJ95" si="48">SUM(BA88,BA90:BA92)</f>
        <v>103324.33385391775</v>
      </c>
      <c r="BB95">
        <f t="shared" si="48"/>
        <v>104759.75511587047</v>
      </c>
      <c r="BC95">
        <f t="shared" si="48"/>
        <v>134355.24043106579</v>
      </c>
      <c r="BD95">
        <f t="shared" si="48"/>
        <v>109486.1184147544</v>
      </c>
      <c r="BE95">
        <f t="shared" si="48"/>
        <v>154561.08613593929</v>
      </c>
      <c r="BF95">
        <f t="shared" si="48"/>
        <v>128170.91301054897</v>
      </c>
      <c r="BG95">
        <f t="shared" si="48"/>
        <v>132750.18949023026</v>
      </c>
      <c r="BH95">
        <f t="shared" si="48"/>
        <v>164859.03282155783</v>
      </c>
      <c r="BI95">
        <f t="shared" si="48"/>
        <v>111833.56705213548</v>
      </c>
      <c r="BJ95">
        <f t="shared" si="48"/>
        <v>129578.810985808</v>
      </c>
      <c r="BM95" t="s">
        <v>194</v>
      </c>
      <c r="BN95">
        <f t="shared" ref="BN95:BW95" si="49">SUM(BN88,BN90:BN92)</f>
        <v>104738.34489223108</v>
      </c>
      <c r="BO95">
        <f t="shared" si="49"/>
        <v>105210.04264686216</v>
      </c>
      <c r="BP95">
        <f t="shared" si="49"/>
        <v>132631.6908951982</v>
      </c>
      <c r="BQ95">
        <f t="shared" si="49"/>
        <v>105196.03150740468</v>
      </c>
      <c r="BR95">
        <f t="shared" si="49"/>
        <v>163359.04188692954</v>
      </c>
      <c r="BS95">
        <f t="shared" si="49"/>
        <v>140554.76731617871</v>
      </c>
      <c r="BT95">
        <f t="shared" si="49"/>
        <v>146169.96087660844</v>
      </c>
      <c r="BU95">
        <f t="shared" si="49"/>
        <v>141854.77803624244</v>
      </c>
      <c r="BV95">
        <f t="shared" si="49"/>
        <v>121848.69727345157</v>
      </c>
      <c r="BW95">
        <f t="shared" si="49"/>
        <v>135871.95983053464</v>
      </c>
      <c r="BZ95" t="s">
        <v>194</v>
      </c>
      <c r="CA95">
        <f t="shared" ref="CA95:CJ95" si="50">SUM(CA88,CA90:CA92)</f>
        <v>84144.822937197838</v>
      </c>
      <c r="CB95">
        <f t="shared" si="50"/>
        <v>84295.77551722122</v>
      </c>
      <c r="CC95">
        <f t="shared" si="50"/>
        <v>96450.688113020122</v>
      </c>
      <c r="CD95">
        <f t="shared" si="50"/>
        <v>103522.05403204673</v>
      </c>
      <c r="CE95">
        <f t="shared" si="50"/>
        <v>121989.55302528045</v>
      </c>
      <c r="CF95">
        <f t="shared" si="50"/>
        <v>113624.85333727763</v>
      </c>
      <c r="CG95">
        <f t="shared" si="50"/>
        <v>116148.80780713726</v>
      </c>
      <c r="CH95">
        <f t="shared" si="50"/>
        <v>133248.32092401007</v>
      </c>
      <c r="CI95">
        <f t="shared" si="50"/>
        <v>89920.912000406272</v>
      </c>
      <c r="CJ95">
        <f t="shared" si="50"/>
        <v>97578.038024660738</v>
      </c>
    </row>
    <row r="96" spans="39:88" ht="15" customHeight="1" x14ac:dyDescent="0.35">
      <c r="AM96" t="s">
        <v>204</v>
      </c>
      <c r="AN96">
        <f t="shared" ref="AN96:AW96" si="51">AN95-AN86</f>
        <v>56164.485829203972</v>
      </c>
      <c r="AO96">
        <f t="shared" si="51"/>
        <v>58453.862752732297</v>
      </c>
      <c r="AP96">
        <f t="shared" si="51"/>
        <v>75024.547267128888</v>
      </c>
      <c r="AQ96">
        <f t="shared" si="51"/>
        <v>53013.205278541282</v>
      </c>
      <c r="AR96">
        <f t="shared" si="51"/>
        <v>85433.497925640346</v>
      </c>
      <c r="AS96">
        <f t="shared" si="51"/>
        <v>59624.763813203615</v>
      </c>
      <c r="AT96">
        <f t="shared" si="51"/>
        <v>62752.34019276499</v>
      </c>
      <c r="AU96">
        <f t="shared" si="51"/>
        <v>99598.825957410751</v>
      </c>
      <c r="AV96">
        <f t="shared" si="51"/>
        <v>55738.439182391536</v>
      </c>
      <c r="AW96">
        <f t="shared" si="51"/>
        <v>69159.164059046903</v>
      </c>
      <c r="AZ96" t="s">
        <v>204</v>
      </c>
      <c r="BA96">
        <f t="shared" ref="BA96:BJ96" si="52">BA95-BA86</f>
        <v>-46147.550723196677</v>
      </c>
      <c r="BB96">
        <f t="shared" si="52"/>
        <v>-37594.420671857544</v>
      </c>
      <c r="BC96">
        <f t="shared" si="52"/>
        <v>9795.336616803761</v>
      </c>
      <c r="BD96">
        <f t="shared" si="52"/>
        <v>-25750.348583587212</v>
      </c>
      <c r="BE96">
        <f t="shared" si="52"/>
        <v>-30499.342388107121</v>
      </c>
      <c r="BF96">
        <f t="shared" si="52"/>
        <v>-92478.059460429446</v>
      </c>
      <c r="BG96">
        <f t="shared" si="52"/>
        <v>-87898.782980748161</v>
      </c>
      <c r="BH96">
        <f t="shared" si="52"/>
        <v>-41554.52207064777</v>
      </c>
      <c r="BI96">
        <f t="shared" si="52"/>
        <v>-83903.424655990559</v>
      </c>
      <c r="BJ96">
        <f t="shared" si="52"/>
        <v>-78614.171103744215</v>
      </c>
      <c r="BM96" t="s">
        <v>335</v>
      </c>
      <c r="BN96">
        <f t="shared" ref="BN96:BW96" si="53">BN95-BN86</f>
        <v>3327.6106537116721</v>
      </c>
      <c r="BO96">
        <f t="shared" si="53"/>
        <v>16475.650188157684</v>
      </c>
      <c r="BP96">
        <f t="shared" si="53"/>
        <v>48122.74569643203</v>
      </c>
      <c r="BQ96">
        <f t="shared" si="53"/>
        <v>20687.086308638507</v>
      </c>
      <c r="BR96">
        <f t="shared" si="53"/>
        <v>40821.071348718586</v>
      </c>
      <c r="BS96">
        <f t="shared" si="53"/>
        <v>-7335.8867816620914</v>
      </c>
      <c r="BT96">
        <f t="shared" si="53"/>
        <v>-1720.6932212323591</v>
      </c>
      <c r="BU96">
        <f t="shared" si="53"/>
        <v>-6035.8760615983629</v>
      </c>
      <c r="BV96">
        <f t="shared" si="53"/>
        <v>-4914.720524697681</v>
      </c>
      <c r="BW96">
        <f t="shared" si="53"/>
        <v>5939.4565874316468</v>
      </c>
      <c r="BZ96" t="s">
        <v>335</v>
      </c>
      <c r="CA96">
        <f t="shared" ref="CA96:CJ96" si="54">CA95-CA86</f>
        <v>-20427.830431091235</v>
      </c>
      <c r="CB96">
        <f t="shared" si="54"/>
        <v>-7205.2961800317134</v>
      </c>
      <c r="CC96">
        <f t="shared" si="54"/>
        <v>9306.810306112573</v>
      </c>
      <c r="CD96">
        <f t="shared" si="54"/>
        <v>12020.982334793793</v>
      </c>
      <c r="CE96">
        <f t="shared" si="54"/>
        <v>-4369.0697947355075</v>
      </c>
      <c r="CF96">
        <f t="shared" si="54"/>
        <v>-38876.932824810588</v>
      </c>
      <c r="CG96">
        <f t="shared" si="54"/>
        <v>-36352.978354950959</v>
      </c>
      <c r="CH96">
        <f t="shared" si="54"/>
        <v>-19253.465238078148</v>
      </c>
      <c r="CI96">
        <f t="shared" si="54"/>
        <v>-45152.098600300436</v>
      </c>
      <c r="CJ96">
        <f t="shared" si="54"/>
        <v>-41852.16646639134</v>
      </c>
    </row>
    <row r="97" spans="39:79" ht="15" customHeight="1" x14ac:dyDescent="0.35">
      <c r="AM97" t="s">
        <v>336</v>
      </c>
      <c r="AN97">
        <f t="shared" ref="AN97:AW97" si="55">AN94+AN96</f>
        <v>56164.485829203972</v>
      </c>
      <c r="AO97">
        <f t="shared" si="55"/>
        <v>114618.34858193627</v>
      </c>
      <c r="AP97">
        <f t="shared" si="55"/>
        <v>189642.89584906516</v>
      </c>
      <c r="AQ97">
        <f t="shared" si="55"/>
        <v>242656.10112760644</v>
      </c>
      <c r="AR97">
        <f t="shared" si="55"/>
        <v>328089.59905324678</v>
      </c>
      <c r="AS97">
        <f t="shared" si="55"/>
        <v>387714.36286645039</v>
      </c>
      <c r="AT97">
        <f t="shared" si="55"/>
        <v>450466.70305921539</v>
      </c>
      <c r="AU97">
        <f t="shared" si="55"/>
        <v>550065.52901662618</v>
      </c>
      <c r="AV97">
        <f t="shared" si="55"/>
        <v>605803.96819901769</v>
      </c>
      <c r="AW97">
        <f t="shared" si="55"/>
        <v>674963.13225806458</v>
      </c>
      <c r="AZ97" t="s">
        <v>336</v>
      </c>
      <c r="BA97">
        <f t="shared" ref="BA97:BJ97" si="56">BA94+BA96</f>
        <v>-46147.550723196677</v>
      </c>
      <c r="BB97">
        <f t="shared" si="56"/>
        <v>-37594.420671857544</v>
      </c>
      <c r="BC97">
        <f t="shared" si="56"/>
        <v>9795.336616803761</v>
      </c>
      <c r="BD97">
        <f t="shared" si="56"/>
        <v>-15955.011966783451</v>
      </c>
      <c r="BE97">
        <f t="shared" si="56"/>
        <v>-30499.342388107121</v>
      </c>
      <c r="BF97">
        <f t="shared" si="56"/>
        <v>-92478.059460429446</v>
      </c>
      <c r="BG97">
        <f t="shared" si="56"/>
        <v>-87898.782980748161</v>
      </c>
      <c r="BH97">
        <f t="shared" si="56"/>
        <v>-41554.52207064777</v>
      </c>
      <c r="BI97">
        <f t="shared" si="56"/>
        <v>-83903.424655990559</v>
      </c>
      <c r="BJ97">
        <f t="shared" si="56"/>
        <v>-78614.171103744215</v>
      </c>
    </row>
    <row r="98" spans="39:79" ht="15" customHeight="1" x14ac:dyDescent="0.35">
      <c r="AM98" t="s">
        <v>250</v>
      </c>
      <c r="AN98">
        <f t="shared" ref="AN98:AW98" si="57">IF(AN97&lt;0,0,AN97)</f>
        <v>56164.485829203972</v>
      </c>
      <c r="AO98">
        <f t="shared" si="57"/>
        <v>114618.34858193627</v>
      </c>
      <c r="AP98">
        <f t="shared" si="57"/>
        <v>189642.89584906516</v>
      </c>
      <c r="AQ98">
        <f t="shared" si="57"/>
        <v>242656.10112760644</v>
      </c>
      <c r="AR98">
        <f t="shared" si="57"/>
        <v>328089.59905324678</v>
      </c>
      <c r="AS98">
        <f t="shared" si="57"/>
        <v>387714.36286645039</v>
      </c>
      <c r="AT98">
        <f t="shared" si="57"/>
        <v>450466.70305921539</v>
      </c>
      <c r="AU98">
        <f t="shared" si="57"/>
        <v>550065.52901662618</v>
      </c>
      <c r="AV98">
        <f t="shared" si="57"/>
        <v>605803.96819901769</v>
      </c>
      <c r="AW98">
        <f t="shared" si="57"/>
        <v>674963.13225806458</v>
      </c>
      <c r="AZ98" t="s">
        <v>250</v>
      </c>
      <c r="BA98">
        <f t="shared" ref="BA98:BJ98" si="58">IF(BA97&lt;0,0,BA97)</f>
        <v>0</v>
      </c>
      <c r="BB98">
        <f t="shared" si="58"/>
        <v>0</v>
      </c>
      <c r="BC98">
        <f t="shared" si="58"/>
        <v>9795.336616803761</v>
      </c>
      <c r="BD98">
        <f t="shared" si="58"/>
        <v>0</v>
      </c>
      <c r="BE98">
        <f t="shared" si="58"/>
        <v>0</v>
      </c>
      <c r="BF98">
        <f t="shared" si="58"/>
        <v>0</v>
      </c>
      <c r="BG98">
        <f t="shared" si="58"/>
        <v>0</v>
      </c>
      <c r="BH98">
        <f t="shared" si="58"/>
        <v>0</v>
      </c>
      <c r="BI98">
        <f t="shared" si="58"/>
        <v>0</v>
      </c>
      <c r="BJ98">
        <f t="shared" si="58"/>
        <v>0</v>
      </c>
    </row>
    <row r="99" spans="39:79" ht="15" customHeight="1" x14ac:dyDescent="0.35">
      <c r="AM99" t="s">
        <v>337</v>
      </c>
      <c r="AN99">
        <f t="shared" ref="AN99:AW99" si="59">IF(AN94+AN95-AN86&gt;0,0,AN94+AN95-AN86)</f>
        <v>0</v>
      </c>
      <c r="AO99">
        <f t="shared" si="59"/>
        <v>0</v>
      </c>
      <c r="AP99">
        <f t="shared" si="59"/>
        <v>0</v>
      </c>
      <c r="AQ99">
        <f t="shared" si="59"/>
        <v>0</v>
      </c>
      <c r="AR99">
        <f t="shared" si="59"/>
        <v>0</v>
      </c>
      <c r="AS99">
        <f t="shared" si="59"/>
        <v>0</v>
      </c>
      <c r="AT99">
        <f t="shared" si="59"/>
        <v>0</v>
      </c>
      <c r="AU99">
        <f t="shared" si="59"/>
        <v>0</v>
      </c>
      <c r="AV99">
        <f t="shared" si="59"/>
        <v>0</v>
      </c>
      <c r="AW99">
        <f t="shared" si="59"/>
        <v>0</v>
      </c>
      <c r="AZ99" t="s">
        <v>337</v>
      </c>
      <c r="BA99">
        <f t="shared" ref="BA99:BJ99" si="60">IF(BA94+BA95-BA86&gt;0,0,BA94+BA95-BA86)</f>
        <v>-46147.550723196677</v>
      </c>
      <c r="BB99">
        <f t="shared" si="60"/>
        <v>-37594.420671857544</v>
      </c>
      <c r="BC99">
        <f t="shared" si="60"/>
        <v>0</v>
      </c>
      <c r="BD99">
        <f t="shared" si="60"/>
        <v>-15955.011966783451</v>
      </c>
      <c r="BE99">
        <f t="shared" si="60"/>
        <v>-30499.342388107121</v>
      </c>
      <c r="BF99">
        <f t="shared" si="60"/>
        <v>-92478.059460429446</v>
      </c>
      <c r="BG99">
        <f t="shared" si="60"/>
        <v>-87898.782980748161</v>
      </c>
      <c r="BH99">
        <f t="shared" si="60"/>
        <v>-41554.52207064777</v>
      </c>
      <c r="BI99">
        <f t="shared" si="60"/>
        <v>-83903.424655990559</v>
      </c>
      <c r="BJ99">
        <f t="shared" si="60"/>
        <v>-78614.171103744215</v>
      </c>
    </row>
    <row r="100" spans="39:79" ht="15" customHeight="1" x14ac:dyDescent="0.35">
      <c r="BM100" t="s">
        <v>338</v>
      </c>
      <c r="BN100">
        <f>SUMIF(BN96:BW96,"&lt;0")</f>
        <v>-20007.176589190494</v>
      </c>
      <c r="BZ100" t="s">
        <v>338</v>
      </c>
      <c r="CA100">
        <f>SUMIF(CA96:CJ96,"&lt;0")</f>
        <v>-213489.83789038996</v>
      </c>
    </row>
    <row r="101" spans="39:79" ht="15" customHeight="1" x14ac:dyDescent="0.35">
      <c r="AM101" t="s">
        <v>339</v>
      </c>
      <c r="AN101">
        <f>LARGE(AN98:AW98,1)</f>
        <v>674963.13225806458</v>
      </c>
      <c r="BA101">
        <f>BA99+BB99</f>
        <v>-83741.971395054221</v>
      </c>
    </row>
    <row r="102" spans="39:79" ht="15" customHeight="1" x14ac:dyDescent="0.35">
      <c r="AX102" t="s">
        <v>340</v>
      </c>
      <c r="AZ102">
        <f>BA101+BJ98+BB99</f>
        <v>-121336.39206691177</v>
      </c>
    </row>
    <row r="104" spans="39:79" ht="15" customHeight="1" x14ac:dyDescent="0.35">
      <c r="AM104" t="s">
        <v>338</v>
      </c>
      <c r="AN104">
        <f>SUMIF(AN96:AW96,"&lt;0")</f>
        <v>0</v>
      </c>
    </row>
    <row r="105" spans="39:79" ht="15" customHeight="1" x14ac:dyDescent="0.35">
      <c r="AZ105" t="s">
        <v>338</v>
      </c>
      <c r="BA105">
        <f>SUMIF(BA96:BJ96,"&lt;0")</f>
        <v>-524440.62263830868</v>
      </c>
    </row>
    <row r="107" spans="39:79" ht="15" customHeight="1" x14ac:dyDescent="0.35">
      <c r="AM107">
        <f>SUM(AN96:AW96)</f>
        <v>674963.13225806458</v>
      </c>
    </row>
    <row r="108" spans="39:79" ht="15" customHeight="1" x14ac:dyDescent="0.35">
      <c r="AM108">
        <f>SUM(BA96:BJ96)</f>
        <v>-514645.2860215049</v>
      </c>
    </row>
    <row r="126" spans="39:82" ht="15" customHeight="1" x14ac:dyDescent="0.35">
      <c r="AM126" t="s">
        <v>187</v>
      </c>
      <c r="BB126" t="s">
        <v>191</v>
      </c>
    </row>
    <row r="127" spans="39:82" ht="15" customHeight="1" x14ac:dyDescent="0.35">
      <c r="BP127" t="s">
        <v>193</v>
      </c>
    </row>
    <row r="128" spans="39:82" ht="15" customHeight="1" x14ac:dyDescent="0.35">
      <c r="CD128" t="s">
        <v>195</v>
      </c>
    </row>
    <row r="130" spans="39:92" ht="15" customHeight="1" x14ac:dyDescent="0.35">
      <c r="BQ130" t="s">
        <v>181</v>
      </c>
      <c r="BR130">
        <v>1153744.7</v>
      </c>
    </row>
    <row r="131" spans="39:92" ht="15" customHeight="1" x14ac:dyDescent="0.35">
      <c r="AN131" t="s">
        <v>181</v>
      </c>
      <c r="AO131">
        <v>1295434.3999999999</v>
      </c>
      <c r="BQ131" t="s">
        <v>201</v>
      </c>
      <c r="BR131">
        <f>50807.9+AH18/30</f>
        <v>980592.47000000009</v>
      </c>
    </row>
    <row r="132" spans="39:92" ht="15" customHeight="1" x14ac:dyDescent="0.35">
      <c r="AN132" t="s">
        <v>201</v>
      </c>
      <c r="AO132">
        <f>37717.1333333333+AH16/30</f>
        <v>727940.67333333322</v>
      </c>
      <c r="BC132" t="s">
        <v>181</v>
      </c>
      <c r="BD132">
        <v>1200800.5483870967</v>
      </c>
      <c r="BQ132" t="s">
        <v>93</v>
      </c>
      <c r="BR132">
        <f>628.466666666667+AG18/30</f>
        <v>7041.7999999999993</v>
      </c>
      <c r="CE132" t="s">
        <v>181</v>
      </c>
      <c r="CF132">
        <v>1053128.1935483871</v>
      </c>
    </row>
    <row r="133" spans="39:92" ht="15" customHeight="1" x14ac:dyDescent="0.35">
      <c r="AN133" t="s">
        <v>93</v>
      </c>
      <c r="AO133">
        <f>1311.76666666667+AG16/30</f>
        <v>12265.100000000004</v>
      </c>
      <c r="BC133" t="s">
        <v>201</v>
      </c>
      <c r="BD133">
        <f>60484.0967741935+AH17/31</f>
        <v>1167343.0677419354</v>
      </c>
      <c r="BQ133" t="s">
        <v>170</v>
      </c>
      <c r="BR133">
        <v>411220.26666666666</v>
      </c>
      <c r="CE133" t="s">
        <v>201</v>
      </c>
      <c r="CF133">
        <f>69643.3870967742+AH19/31</f>
        <v>1344117.3709677421</v>
      </c>
    </row>
    <row r="134" spans="39:92" ht="15" customHeight="1" x14ac:dyDescent="0.35">
      <c r="AN134" t="s">
        <v>170</v>
      </c>
      <c r="AO134">
        <v>430089.13333333336</v>
      </c>
      <c r="BC134" t="s">
        <v>93</v>
      </c>
      <c r="BD134">
        <f>1116.35483870968+AG17/31</f>
        <v>9474.419354838712</v>
      </c>
      <c r="BQ134" t="s">
        <v>172</v>
      </c>
      <c r="BR134">
        <v>69597.5</v>
      </c>
      <c r="CE134" t="s">
        <v>93</v>
      </c>
      <c r="CF134">
        <f>605.709677419355+AG19/31</f>
        <v>5996.0322580645161</v>
      </c>
    </row>
    <row r="135" spans="39:92" ht="15" customHeight="1" x14ac:dyDescent="0.35">
      <c r="AN135" t="s">
        <v>172</v>
      </c>
      <c r="AO135">
        <v>66366.333333333328</v>
      </c>
      <c r="BC135" t="s">
        <v>170</v>
      </c>
      <c r="BD135">
        <v>435116.09677419357</v>
      </c>
      <c r="CE135" t="s">
        <v>170</v>
      </c>
      <c r="CF135">
        <v>388651.67741935485</v>
      </c>
    </row>
    <row r="136" spans="39:92" ht="15" customHeight="1" x14ac:dyDescent="0.35">
      <c r="BC136" t="s">
        <v>172</v>
      </c>
      <c r="BD136">
        <v>60118</v>
      </c>
      <c r="CE136" t="s">
        <v>172</v>
      </c>
      <c r="CF136">
        <v>78861.741935483864</v>
      </c>
    </row>
    <row r="142" spans="39:92" ht="15" customHeight="1" x14ac:dyDescent="0.35">
      <c r="AN142" t="s">
        <v>154</v>
      </c>
      <c r="AO142" t="s">
        <v>155</v>
      </c>
      <c r="AP142" t="s">
        <v>156</v>
      </c>
      <c r="AQ142" t="s">
        <v>157</v>
      </c>
      <c r="AR142" t="s">
        <v>158</v>
      </c>
      <c r="AS142" t="s">
        <v>159</v>
      </c>
      <c r="AT142" t="s">
        <v>160</v>
      </c>
      <c r="AU142" t="s">
        <v>161</v>
      </c>
      <c r="AV142" t="s">
        <v>162</v>
      </c>
      <c r="AW142" t="s">
        <v>163</v>
      </c>
      <c r="BC142" t="s">
        <v>154</v>
      </c>
      <c r="BD142" t="s">
        <v>155</v>
      </c>
      <c r="BE142" t="s">
        <v>156</v>
      </c>
      <c r="BF142" t="s">
        <v>157</v>
      </c>
      <c r="BG142" t="s">
        <v>158</v>
      </c>
      <c r="BH142" t="s">
        <v>159</v>
      </c>
      <c r="BI142" t="s">
        <v>160</v>
      </c>
      <c r="BJ142" t="s">
        <v>161</v>
      </c>
      <c r="BK142" t="s">
        <v>162</v>
      </c>
      <c r="BL142" t="s">
        <v>163</v>
      </c>
      <c r="BQ142" t="s">
        <v>154</v>
      </c>
      <c r="BR142" t="s">
        <v>155</v>
      </c>
      <c r="BS142" t="s">
        <v>156</v>
      </c>
      <c r="BT142" t="s">
        <v>157</v>
      </c>
      <c r="BU142" t="s">
        <v>158</v>
      </c>
      <c r="BV142" t="s">
        <v>159</v>
      </c>
      <c r="BW142" t="s">
        <v>160</v>
      </c>
      <c r="BX142" t="s">
        <v>161</v>
      </c>
      <c r="BY142" t="s">
        <v>162</v>
      </c>
      <c r="BZ142" t="s">
        <v>163</v>
      </c>
      <c r="CE142" t="s">
        <v>154</v>
      </c>
      <c r="CF142" t="s">
        <v>155</v>
      </c>
      <c r="CG142" t="s">
        <v>156</v>
      </c>
      <c r="CH142" t="s">
        <v>157</v>
      </c>
      <c r="CI142" t="s">
        <v>158</v>
      </c>
      <c r="CJ142" t="s">
        <v>159</v>
      </c>
      <c r="CK142" t="s">
        <v>160</v>
      </c>
      <c r="CL142" t="s">
        <v>161</v>
      </c>
      <c r="CM142" t="s">
        <v>162</v>
      </c>
      <c r="CN142" t="s">
        <v>163</v>
      </c>
    </row>
    <row r="143" spans="39:92" ht="15" customHeight="1" x14ac:dyDescent="0.35">
      <c r="AM143" t="s">
        <v>181</v>
      </c>
      <c r="AN143">
        <v>8.4432717678100261E-2</v>
      </c>
      <c r="AO143">
        <v>7.3878627968337732E-2</v>
      </c>
      <c r="AP143">
        <v>7.3878627968337732E-2</v>
      </c>
      <c r="AQ143">
        <v>7.3878627968337732E-2</v>
      </c>
      <c r="AR143">
        <v>0.10202286719437115</v>
      </c>
      <c r="AS143">
        <v>0.12313104661389622</v>
      </c>
      <c r="AT143">
        <v>0.12313104661389622</v>
      </c>
      <c r="AU143">
        <v>0.11961301671064203</v>
      </c>
      <c r="AV143">
        <v>0.12313104661389622</v>
      </c>
      <c r="AW143">
        <v>0.10290237467018469</v>
      </c>
      <c r="BB143" t="s">
        <v>181</v>
      </c>
      <c r="BC143">
        <v>8.4432717678100261E-2</v>
      </c>
      <c r="BD143">
        <v>7.3878627968337732E-2</v>
      </c>
      <c r="BE143">
        <v>7.3878627968337732E-2</v>
      </c>
      <c r="BF143">
        <v>7.3878627968337732E-2</v>
      </c>
      <c r="BG143">
        <v>0.10202286719437115</v>
      </c>
      <c r="BH143">
        <v>0.12313104661389622</v>
      </c>
      <c r="BI143">
        <v>0.12313104661389622</v>
      </c>
      <c r="BJ143">
        <v>0.11961301671064203</v>
      </c>
      <c r="BK143">
        <v>0.12313104661389622</v>
      </c>
      <c r="BL143">
        <v>0.10290237467018469</v>
      </c>
      <c r="BP143" t="s">
        <v>181</v>
      </c>
      <c r="BQ143">
        <v>7.6117982873453852E-2</v>
      </c>
      <c r="BR143">
        <v>7.2312083729781165E-2</v>
      </c>
      <c r="BS143">
        <v>6.6603235014272122E-2</v>
      </c>
      <c r="BT143">
        <v>7.6117982873453852E-2</v>
      </c>
      <c r="BU143">
        <v>0.11037107516650808</v>
      </c>
      <c r="BV143">
        <v>0.11798287345385347</v>
      </c>
      <c r="BW143">
        <v>0.11417697431018078</v>
      </c>
      <c r="BX143">
        <v>0.11798287345385347</v>
      </c>
      <c r="BY143">
        <v>0.12940057088487156</v>
      </c>
      <c r="BZ143">
        <v>0.11893434823977164</v>
      </c>
      <c r="CD143" t="s">
        <v>181</v>
      </c>
      <c r="CE143">
        <v>8.5637823371989288E-2</v>
      </c>
      <c r="CF143">
        <v>7.4933095450490636E-2</v>
      </c>
      <c r="CG143">
        <v>6.2444246208742192E-2</v>
      </c>
      <c r="CH143">
        <v>7.1364852809991081E-2</v>
      </c>
      <c r="CI143">
        <v>0.10347903657448707</v>
      </c>
      <c r="CJ143">
        <v>0.1159678858162355</v>
      </c>
      <c r="CK143">
        <v>0.1159678858162355</v>
      </c>
      <c r="CL143">
        <v>0.12488849241748438</v>
      </c>
      <c r="CM143">
        <v>0.13380909901873328</v>
      </c>
      <c r="CN143">
        <v>0.11150758251561106</v>
      </c>
    </row>
    <row r="144" spans="39:92" ht="15" customHeight="1" x14ac:dyDescent="0.35">
      <c r="AM144" t="s">
        <v>181</v>
      </c>
      <c r="AN144">
        <v>109377.04696569919</v>
      </c>
      <c r="AO144">
        <v>95704.916094986795</v>
      </c>
      <c r="AP144">
        <v>95704.916094986795</v>
      </c>
      <c r="AQ144">
        <v>95704.916094986795</v>
      </c>
      <c r="AR144">
        <v>132163.93175021987</v>
      </c>
      <c r="AS144">
        <v>159508.19349164466</v>
      </c>
      <c r="AT144">
        <v>159508.19349164466</v>
      </c>
      <c r="AU144">
        <v>154950.81653474053</v>
      </c>
      <c r="AV144">
        <v>159508.19349164466</v>
      </c>
      <c r="AW144">
        <v>133303.27598944589</v>
      </c>
      <c r="BB144" t="s">
        <v>181</v>
      </c>
      <c r="BC144">
        <v>101386.85368967571</v>
      </c>
      <c r="BD144">
        <v>88713.496978466253</v>
      </c>
      <c r="BE144">
        <v>88713.496978466253</v>
      </c>
      <c r="BF144">
        <v>88713.496978466253</v>
      </c>
      <c r="BG144">
        <v>122509.11487502481</v>
      </c>
      <c r="BH144">
        <v>147855.82829744375</v>
      </c>
      <c r="BI144">
        <v>147855.82829744375</v>
      </c>
      <c r="BJ144">
        <v>143631.37606037391</v>
      </c>
      <c r="BK144">
        <v>147855.82829744375</v>
      </c>
      <c r="BL144">
        <v>123565.22793429227</v>
      </c>
      <c r="BP144" t="s">
        <v>181</v>
      </c>
      <c r="BQ144">
        <v>87820.719314938149</v>
      </c>
      <c r="BR144">
        <v>83429.683349191255</v>
      </c>
      <c r="BS144">
        <v>76843.129400570877</v>
      </c>
      <c r="BT144">
        <v>87820.719314938149</v>
      </c>
      <c r="BU144">
        <v>127340.04300666031</v>
      </c>
      <c r="BV144">
        <v>136122.11493815412</v>
      </c>
      <c r="BW144">
        <v>131731.07897240724</v>
      </c>
      <c r="BX144">
        <v>136122.11493815412</v>
      </c>
      <c r="BY144">
        <v>149295.22283539487</v>
      </c>
      <c r="BZ144">
        <v>137219.87392959086</v>
      </c>
      <c r="CD144" t="s">
        <v>181</v>
      </c>
      <c r="CE144">
        <v>90187.606227158933</v>
      </c>
      <c r="CF144">
        <v>78914.155448764068</v>
      </c>
      <c r="CG144">
        <v>65761.796207303385</v>
      </c>
      <c r="CH144">
        <v>75156.338522632446</v>
      </c>
      <c r="CI144">
        <v>108976.69085781704</v>
      </c>
      <c r="CJ144">
        <v>122129.05009927772</v>
      </c>
      <c r="CK144">
        <v>122129.05009927772</v>
      </c>
      <c r="CL144">
        <v>131523.59241460677</v>
      </c>
      <c r="CM144">
        <v>140918.13472993585</v>
      </c>
      <c r="CN144">
        <v>117431.7789416132</v>
      </c>
    </row>
    <row r="145" spans="39:92" ht="15" customHeight="1" x14ac:dyDescent="0.35">
      <c r="AM145" t="s">
        <v>184</v>
      </c>
      <c r="AN145">
        <v>6.4445648924567667E-2</v>
      </c>
      <c r="AO145">
        <v>6.4398194988423835E-2</v>
      </c>
      <c r="AP145">
        <v>9.8976496686133453E-2</v>
      </c>
      <c r="AQ145">
        <v>7.1006706222292257E-2</v>
      </c>
      <c r="AR145">
        <v>0.14379243448103113</v>
      </c>
      <c r="AS145">
        <v>0.1134269210384523</v>
      </c>
      <c r="AT145">
        <v>0.11735638726977082</v>
      </c>
      <c r="AU145">
        <v>0.15436344949669795</v>
      </c>
      <c r="AV145">
        <v>7.4689892531851709E-2</v>
      </c>
      <c r="AW145">
        <v>9.7543868360778871E-2</v>
      </c>
      <c r="BB145" t="s">
        <v>184</v>
      </c>
      <c r="BC145">
        <v>7.0566196967581082E-2</v>
      </c>
      <c r="BD145">
        <v>6.7141279879733673E-2</v>
      </c>
      <c r="BE145">
        <v>0.10694330929299464</v>
      </c>
      <c r="BF145">
        <v>7.4848367530312723E-2</v>
      </c>
      <c r="BG145">
        <v>0.13035817560962998</v>
      </c>
      <c r="BH145">
        <v>0.10888416389687872</v>
      </c>
      <c r="BI145">
        <v>0.11865330291396965</v>
      </c>
      <c r="BJ145">
        <v>0.14515527181679364</v>
      </c>
      <c r="BK145">
        <v>7.1091268986875109E-2</v>
      </c>
      <c r="BL145">
        <v>0.10635866310523101</v>
      </c>
      <c r="BP145" t="s">
        <v>184</v>
      </c>
      <c r="BQ145">
        <v>7.3648722098394195E-2</v>
      </c>
      <c r="BR145">
        <v>7.1702214839319448E-2</v>
      </c>
      <c r="BS145">
        <v>0.10790832277379528</v>
      </c>
      <c r="BT145">
        <v>7.4289774139522896E-2</v>
      </c>
      <c r="BU145">
        <v>0.13055341110302704</v>
      </c>
      <c r="BV145">
        <v>0.10669043434932723</v>
      </c>
      <c r="BW145">
        <v>0.11368867779888985</v>
      </c>
      <c r="BX145">
        <v>0.14664597880607841</v>
      </c>
      <c r="BY145">
        <v>7.1698270388905735E-2</v>
      </c>
      <c r="BZ145">
        <v>0.10317419370273982</v>
      </c>
      <c r="CD145" t="s">
        <v>184</v>
      </c>
      <c r="CE145">
        <v>8.165259480355655E-2</v>
      </c>
      <c r="CF145">
        <v>8.8822889770702712E-2</v>
      </c>
      <c r="CG145">
        <v>0.12327025561731776</v>
      </c>
      <c r="CH145">
        <v>7.6387027171195193E-2</v>
      </c>
      <c r="CI145">
        <v>0.11926859829990794</v>
      </c>
      <c r="CJ145">
        <v>9.2689018202838369E-2</v>
      </c>
      <c r="CK145">
        <v>9.4141098193551404E-2</v>
      </c>
      <c r="CL145">
        <v>0.12671621271772632</v>
      </c>
      <c r="CM145">
        <v>7.7739662707377657E-2</v>
      </c>
      <c r="CN145">
        <v>0.11931264251582636</v>
      </c>
    </row>
    <row r="146" spans="39:92" ht="15" customHeight="1" x14ac:dyDescent="0.35">
      <c r="AM146" t="s">
        <v>185</v>
      </c>
      <c r="AN146">
        <f t="shared" ref="AN146:AW146" si="61">$AO$132*AN145</f>
        <v>46912.609071553386</v>
      </c>
      <c r="AO146">
        <f t="shared" si="61"/>
        <v>46878.065421324529</v>
      </c>
      <c r="AP146">
        <f t="shared" si="61"/>
        <v>72049.01764187841</v>
      </c>
      <c r="AQ146">
        <f t="shared" si="61"/>
        <v>51688.669538637609</v>
      </c>
      <c r="AR146">
        <f t="shared" si="61"/>
        <v>104672.361576361</v>
      </c>
      <c r="AS146">
        <f t="shared" si="61"/>
        <v>82568.069274857786</v>
      </c>
      <c r="AT146">
        <f t="shared" si="61"/>
        <v>85428.487569124394</v>
      </c>
      <c r="AU146">
        <f t="shared" si="61"/>
        <v>112367.43336468228</v>
      </c>
      <c r="AV146">
        <f t="shared" si="61"/>
        <v>54369.81066083043</v>
      </c>
      <c r="AW146">
        <f t="shared" si="61"/>
        <v>71006.149214083387</v>
      </c>
      <c r="BB146" t="s">
        <v>185</v>
      </c>
      <c r="BC146">
        <f t="shared" ref="BC146:BL146" si="62">$BD$133*BC145</f>
        <v>82374.960847017763</v>
      </c>
      <c r="BD146">
        <f t="shared" si="62"/>
        <v>78376.907626928194</v>
      </c>
      <c r="BE146">
        <f t="shared" si="62"/>
        <v>124839.53074455899</v>
      </c>
      <c r="BF146">
        <f t="shared" si="62"/>
        <v>87373.722968311122</v>
      </c>
      <c r="BG146">
        <f t="shared" si="62"/>
        <v>152172.71262138739</v>
      </c>
      <c r="BH146">
        <f t="shared" si="62"/>
        <v>127105.17391189809</v>
      </c>
      <c r="BI146">
        <f t="shared" si="62"/>
        <v>138509.11062130646</v>
      </c>
      <c r="BJ146">
        <f t="shared" si="62"/>
        <v>169446.00030153038</v>
      </c>
      <c r="BK146">
        <f t="shared" si="62"/>
        <v>82987.900028805903</v>
      </c>
      <c r="BL146">
        <f t="shared" si="62"/>
        <v>124157.04807019136</v>
      </c>
      <c r="BP146" t="s">
        <v>185</v>
      </c>
      <c r="BQ146">
        <f t="shared" ref="BQ146:BZ146" si="63">$BR$131*BQ145</f>
        <v>72219.382314807954</v>
      </c>
      <c r="BR146">
        <f t="shared" si="63"/>
        <v>70310.651953758919</v>
      </c>
      <c r="BS146">
        <f t="shared" si="63"/>
        <v>105814.08876231317</v>
      </c>
      <c r="BT146">
        <f t="shared" si="63"/>
        <v>72847.993119216888</v>
      </c>
      <c r="BU146">
        <f t="shared" si="63"/>
        <v>128019.69186044272</v>
      </c>
      <c r="BV146">
        <f t="shared" si="63"/>
        <v>104619.83654397965</v>
      </c>
      <c r="BW146">
        <f t="shared" si="63"/>
        <v>111482.26137384756</v>
      </c>
      <c r="BX146">
        <f t="shared" si="63"/>
        <v>143799.94257302009</v>
      </c>
      <c r="BY146">
        <f t="shared" si="63"/>
        <v>70306.784055384938</v>
      </c>
      <c r="BZ146">
        <f t="shared" si="63"/>
        <v>101171.8374432281</v>
      </c>
      <c r="CD146" t="s">
        <v>185</v>
      </c>
      <c r="CE146">
        <f t="shared" ref="CE146:CN146" si="64">$CF$133*CE145</f>
        <v>109750.67106005075</v>
      </c>
      <c r="CF146">
        <f t="shared" si="64"/>
        <v>119388.38908035448</v>
      </c>
      <c r="CG146">
        <f t="shared" si="64"/>
        <v>165689.69189887069</v>
      </c>
      <c r="CH146">
        <f t="shared" si="64"/>
        <v>102673.13013738836</v>
      </c>
      <c r="CI146">
        <f t="shared" si="64"/>
        <v>160310.99478587997</v>
      </c>
      <c r="CJ146">
        <f t="shared" si="64"/>
        <v>124584.91946438029</v>
      </c>
      <c r="CK146">
        <f t="shared" si="64"/>
        <v>126536.68540393237</v>
      </c>
      <c r="CL146">
        <f t="shared" si="64"/>
        <v>170321.46269713945</v>
      </c>
      <c r="CM146">
        <f t="shared" si="64"/>
        <v>104491.23105815948</v>
      </c>
      <c r="CN146">
        <f t="shared" si="64"/>
        <v>160370.19538158659</v>
      </c>
    </row>
    <row r="147" spans="39:92" ht="15" customHeight="1" x14ac:dyDescent="0.35">
      <c r="AM147" t="s">
        <v>93</v>
      </c>
      <c r="AN147">
        <v>3.5299514236429218E-5</v>
      </c>
      <c r="AO147">
        <v>3.817292308297643E-5</v>
      </c>
      <c r="AP147">
        <v>9.9586389074766821E-5</v>
      </c>
      <c r="AQ147">
        <v>1.3299293557121696E-2</v>
      </c>
      <c r="AR147">
        <v>0.25325811612063148</v>
      </c>
      <c r="AS147">
        <v>0.27171247294086587</v>
      </c>
      <c r="AT147">
        <v>0.26472074197142692</v>
      </c>
      <c r="AU147">
        <v>0.19091707878736297</v>
      </c>
      <c r="AV147">
        <v>5.8238273479563627E-3</v>
      </c>
      <c r="AW147">
        <v>9.5410448240268155E-5</v>
      </c>
      <c r="BB147" t="s">
        <v>93</v>
      </c>
      <c r="BC147">
        <v>1.2570770050342826E-4</v>
      </c>
      <c r="BD147">
        <v>8.8322088721083756E-5</v>
      </c>
      <c r="BE147">
        <v>1.0118992721247216E-4</v>
      </c>
      <c r="BF147">
        <v>8.9551229073702721E-3</v>
      </c>
      <c r="BG147">
        <v>0.26264836237828326</v>
      </c>
      <c r="BH147">
        <v>0.30733754999438762</v>
      </c>
      <c r="BI147">
        <v>0.27259484757359315</v>
      </c>
      <c r="BJ147">
        <v>0.14724738489379158</v>
      </c>
      <c r="BK147">
        <v>6.800714258002273E-4</v>
      </c>
      <c r="BL147">
        <v>2.2144111033687376E-4</v>
      </c>
      <c r="BP147" t="s">
        <v>93</v>
      </c>
      <c r="BQ147">
        <v>6.7651240846723851E-5</v>
      </c>
      <c r="BR147">
        <v>4.279255827885318E-5</v>
      </c>
      <c r="BS147">
        <v>1.0743450755923455E-4</v>
      </c>
      <c r="BT147">
        <v>2.9535021201514701E-3</v>
      </c>
      <c r="BU147">
        <v>0.23440175314313352</v>
      </c>
      <c r="BV147">
        <v>0.31983743630686684</v>
      </c>
      <c r="BW147">
        <v>0.30176047094467573</v>
      </c>
      <c r="BX147">
        <v>0.14038419031514648</v>
      </c>
      <c r="BY147">
        <v>2.5334919456566142E-4</v>
      </c>
      <c r="BZ147">
        <v>1.9141966877563735E-4</v>
      </c>
      <c r="CD147" t="s">
        <v>93</v>
      </c>
      <c r="CE147">
        <v>5.1160616115804997E-4</v>
      </c>
      <c r="CF147">
        <v>5.5633950639045299E-4</v>
      </c>
      <c r="CG147">
        <v>8.4961983343151762E-4</v>
      </c>
      <c r="CH147">
        <v>7.0920360803238902E-4</v>
      </c>
      <c r="CI147">
        <v>0.2117992689956226</v>
      </c>
      <c r="CJ147">
        <v>0.34365166606719122</v>
      </c>
      <c r="CK147">
        <v>0.30398662483667793</v>
      </c>
      <c r="CL147">
        <v>0.13680217838839354</v>
      </c>
      <c r="CM147">
        <v>3.8241393776216844E-4</v>
      </c>
      <c r="CN147">
        <v>7.5107866534008432E-4</v>
      </c>
    </row>
    <row r="148" spans="39:92" ht="15" customHeight="1" x14ac:dyDescent="0.35">
      <c r="AM148" t="s">
        <v>189</v>
      </c>
      <c r="AN148">
        <f t="shared" ref="AN148:AW148" si="65">$AO$133*AN147</f>
        <v>0.43295207206122815</v>
      </c>
      <c r="AO148">
        <f t="shared" si="65"/>
        <v>0.46819471890501435</v>
      </c>
      <c r="AP148">
        <f t="shared" si="65"/>
        <v>1.2214370206409229</v>
      </c>
      <c r="AQ148">
        <f t="shared" si="65"/>
        <v>163.11716540745337</v>
      </c>
      <c r="AR148">
        <f t="shared" si="65"/>
        <v>3106.2361200311584</v>
      </c>
      <c r="AS148">
        <f t="shared" si="65"/>
        <v>3332.5806518670151</v>
      </c>
      <c r="AT148">
        <f t="shared" si="65"/>
        <v>3246.8263723537493</v>
      </c>
      <c r="AU148">
        <f t="shared" si="65"/>
        <v>2341.6170630348865</v>
      </c>
      <c r="AV148">
        <f t="shared" si="65"/>
        <v>71.429824805419614</v>
      </c>
      <c r="AW148">
        <f t="shared" si="65"/>
        <v>1.1702186887117134</v>
      </c>
      <c r="BB148" t="s">
        <v>189</v>
      </c>
      <c r="BC148">
        <f t="shared" ref="BC148:BL148" si="66">$BD$134*BC147</f>
        <v>1.1910074707019489</v>
      </c>
      <c r="BD148">
        <f t="shared" si="66"/>
        <v>0.83680050683881779</v>
      </c>
      <c r="BE148">
        <f t="shared" si="66"/>
        <v>0.95871580489656671</v>
      </c>
      <c r="BF148">
        <f t="shared" si="66"/>
        <v>84.844589798548427</v>
      </c>
      <c r="BG148">
        <f t="shared" si="66"/>
        <v>2488.4407280334985</v>
      </c>
      <c r="BH148">
        <f t="shared" si="66"/>
        <v>2911.8448321355363</v>
      </c>
      <c r="BI148">
        <f t="shared" si="66"/>
        <v>2582.6778998805594</v>
      </c>
      <c r="BJ148">
        <f t="shared" si="66"/>
        <v>1395.0834733871243</v>
      </c>
      <c r="BK148">
        <f t="shared" si="66"/>
        <v>6.4432818792744326</v>
      </c>
      <c r="BL148">
        <f t="shared" si="66"/>
        <v>2.0980259417326517</v>
      </c>
      <c r="BP148" t="s">
        <v>189</v>
      </c>
      <c r="BQ148">
        <f t="shared" ref="BQ148:BZ148" si="67">$BR$132*BQ147</f>
        <v>0.47638650779445996</v>
      </c>
      <c r="BR148">
        <f t="shared" si="67"/>
        <v>0.30133663688802831</v>
      </c>
      <c r="BS148">
        <f t="shared" si="67"/>
        <v>0.75653231533061782</v>
      </c>
      <c r="BT148">
        <f t="shared" si="67"/>
        <v>20.79797122968262</v>
      </c>
      <c r="BU148">
        <f t="shared" si="67"/>
        <v>1650.6102652833174</v>
      </c>
      <c r="BV148">
        <f t="shared" si="67"/>
        <v>2252.2312589856947</v>
      </c>
      <c r="BW148">
        <f t="shared" si="67"/>
        <v>2124.9368842982171</v>
      </c>
      <c r="BX148">
        <f t="shared" si="67"/>
        <v>988.55739136119837</v>
      </c>
      <c r="BY148">
        <f t="shared" si="67"/>
        <v>1.7840343582924745</v>
      </c>
      <c r="BZ148">
        <f t="shared" si="67"/>
        <v>1.347939023584283</v>
      </c>
      <c r="CD148" t="s">
        <v>189</v>
      </c>
      <c r="CE148">
        <f t="shared" ref="CE148:CN148" si="68">$CF$134*CE147</f>
        <v>3.067607045728221</v>
      </c>
      <c r="CF148">
        <f t="shared" si="68"/>
        <v>3.335829626752846</v>
      </c>
      <c r="CG148">
        <f t="shared" si="68"/>
        <v>5.0943479283467807</v>
      </c>
      <c r="CH148">
        <f t="shared" si="68"/>
        <v>4.2524077112979475</v>
      </c>
      <c r="CI148">
        <f t="shared" si="68"/>
        <v>1269.9552491322368</v>
      </c>
      <c r="CJ148">
        <f t="shared" si="68"/>
        <v>2060.5464752764938</v>
      </c>
      <c r="CK148">
        <f t="shared" si="68"/>
        <v>1822.713608540877</v>
      </c>
      <c r="CL148">
        <f t="shared" si="68"/>
        <v>820.27027459030398</v>
      </c>
      <c r="CM148">
        <f t="shared" si="68"/>
        <v>2.2929663067554382</v>
      </c>
      <c r="CN148">
        <f t="shared" si="68"/>
        <v>4.5034919057231884</v>
      </c>
    </row>
    <row r="149" spans="39:92" ht="15" customHeight="1" x14ac:dyDescent="0.35">
      <c r="AM149" t="s">
        <v>172</v>
      </c>
      <c r="AN149">
        <v>6636.6333333333332</v>
      </c>
      <c r="AO149">
        <v>6636.6333333333332</v>
      </c>
      <c r="AP149">
        <v>6636.6333333333332</v>
      </c>
      <c r="AQ149">
        <v>6636.6333333333332</v>
      </c>
      <c r="AR149">
        <v>6636.6333333333332</v>
      </c>
      <c r="AS149">
        <v>6636.6333333333332</v>
      </c>
      <c r="AT149">
        <v>6636.6333333333332</v>
      </c>
      <c r="AU149">
        <v>6636.6333333333332</v>
      </c>
      <c r="AV149">
        <v>6636.6333333333332</v>
      </c>
      <c r="AW149">
        <v>6636.6333333333332</v>
      </c>
      <c r="BB149" t="s">
        <v>172</v>
      </c>
      <c r="BC149">
        <v>6011.8</v>
      </c>
      <c r="BD149">
        <v>6011.8</v>
      </c>
      <c r="BE149">
        <v>6011.8</v>
      </c>
      <c r="BF149">
        <v>6011.8</v>
      </c>
      <c r="BG149">
        <v>6011.8</v>
      </c>
      <c r="BH149">
        <v>6011.8</v>
      </c>
      <c r="BI149">
        <v>6011.8</v>
      </c>
      <c r="BJ149">
        <v>6011.8</v>
      </c>
      <c r="BK149">
        <v>6011.8</v>
      </c>
      <c r="BL149">
        <v>6011.8</v>
      </c>
      <c r="BP149" t="s">
        <v>172</v>
      </c>
      <c r="BQ149">
        <v>6959.75</v>
      </c>
      <c r="BR149">
        <v>6959.75</v>
      </c>
      <c r="BS149">
        <v>6959.75</v>
      </c>
      <c r="BT149">
        <v>6959.75</v>
      </c>
      <c r="BU149">
        <v>6959.75</v>
      </c>
      <c r="BV149">
        <v>6959.75</v>
      </c>
      <c r="BW149">
        <v>6959.75</v>
      </c>
      <c r="BX149">
        <v>6959.75</v>
      </c>
      <c r="BY149">
        <v>6959.75</v>
      </c>
      <c r="BZ149">
        <v>6959.75</v>
      </c>
      <c r="CD149" t="s">
        <v>172</v>
      </c>
      <c r="CE149">
        <v>7886.174193548386</v>
      </c>
      <c r="CF149">
        <v>7886.174193548386</v>
      </c>
      <c r="CG149">
        <v>7886.174193548386</v>
      </c>
      <c r="CH149">
        <v>7886.174193548386</v>
      </c>
      <c r="CI149">
        <v>7886.174193548386</v>
      </c>
      <c r="CJ149">
        <v>7886.174193548386</v>
      </c>
      <c r="CK149">
        <v>7886.174193548386</v>
      </c>
      <c r="CL149">
        <v>7886.174193548386</v>
      </c>
      <c r="CM149">
        <v>7886.174193548386</v>
      </c>
      <c r="CN149">
        <v>7886.174193548386</v>
      </c>
    </row>
    <row r="150" spans="39:92" ht="15" customHeight="1" x14ac:dyDescent="0.35">
      <c r="AM150" t="s">
        <v>170</v>
      </c>
      <c r="AN150">
        <v>43008.913333333338</v>
      </c>
      <c r="AO150">
        <v>43008.913333333338</v>
      </c>
      <c r="AP150">
        <v>43008.913333333338</v>
      </c>
      <c r="AQ150">
        <v>43008.913333333338</v>
      </c>
      <c r="AR150">
        <v>43008.913333333338</v>
      </c>
      <c r="AS150">
        <v>43008.913333333338</v>
      </c>
      <c r="AT150">
        <v>43008.913333333338</v>
      </c>
      <c r="AU150">
        <v>43008.913333333338</v>
      </c>
      <c r="AV150">
        <v>43008.913333333338</v>
      </c>
      <c r="AW150">
        <v>43008.913333333338</v>
      </c>
      <c r="BB150" t="s">
        <v>170</v>
      </c>
      <c r="BC150">
        <v>43511.609677419357</v>
      </c>
      <c r="BD150">
        <v>43511.609677419357</v>
      </c>
      <c r="BE150">
        <v>43511.609677419357</v>
      </c>
      <c r="BF150">
        <v>43511.609677419357</v>
      </c>
      <c r="BG150">
        <v>43511.609677419357</v>
      </c>
      <c r="BH150">
        <v>43511.609677419357</v>
      </c>
      <c r="BI150">
        <v>43511.609677419357</v>
      </c>
      <c r="BJ150">
        <v>43511.609677419357</v>
      </c>
      <c r="BK150">
        <v>43511.609677419357</v>
      </c>
      <c r="BL150">
        <v>43511.609677419357</v>
      </c>
      <c r="BP150" t="s">
        <v>170</v>
      </c>
      <c r="BQ150">
        <v>41122.026666666665</v>
      </c>
      <c r="BR150">
        <v>41122.026666666665</v>
      </c>
      <c r="BS150">
        <v>41122.026666666665</v>
      </c>
      <c r="BT150">
        <v>41122.026666666665</v>
      </c>
      <c r="BU150">
        <v>41122.026666666665</v>
      </c>
      <c r="BV150">
        <v>41122.026666666665</v>
      </c>
      <c r="BW150">
        <v>41122.026666666665</v>
      </c>
      <c r="BX150">
        <v>41122.026666666665</v>
      </c>
      <c r="BY150">
        <v>41122.026666666665</v>
      </c>
      <c r="BZ150">
        <v>41122.026666666665</v>
      </c>
      <c r="CD150" t="s">
        <v>170</v>
      </c>
      <c r="CE150">
        <v>38865.167741935482</v>
      </c>
      <c r="CF150">
        <v>38865.167741935482</v>
      </c>
      <c r="CG150">
        <v>38865.167741935482</v>
      </c>
      <c r="CH150">
        <v>38865.167741935482</v>
      </c>
      <c r="CI150">
        <v>38865.167741935482</v>
      </c>
      <c r="CJ150">
        <v>38865.167741935482</v>
      </c>
      <c r="CK150">
        <v>38865.167741935482</v>
      </c>
      <c r="CL150">
        <v>38865.167741935482</v>
      </c>
      <c r="CM150">
        <v>38865.167741935482</v>
      </c>
      <c r="CN150">
        <v>38865.167741935482</v>
      </c>
    </row>
    <row r="153" spans="39:92" ht="15" customHeight="1" x14ac:dyDescent="0.35">
      <c r="AM153" t="s">
        <v>194</v>
      </c>
      <c r="AN153">
        <f t="shared" ref="AN153:AW153" si="69">SUM(AN146,AN148:AN150)</f>
        <v>96558.588690292119</v>
      </c>
      <c r="AO153">
        <f t="shared" si="69"/>
        <v>96524.0802827101</v>
      </c>
      <c r="AP153">
        <f t="shared" si="69"/>
        <v>121695.78574556572</v>
      </c>
      <c r="AQ153">
        <f t="shared" si="69"/>
        <v>101497.33337071174</v>
      </c>
      <c r="AR153">
        <f t="shared" si="69"/>
        <v>157424.14436305882</v>
      </c>
      <c r="AS153">
        <f t="shared" si="69"/>
        <v>135546.19659339148</v>
      </c>
      <c r="AT153">
        <f t="shared" si="69"/>
        <v>138320.86060814481</v>
      </c>
      <c r="AU153">
        <f t="shared" si="69"/>
        <v>164354.59709438385</v>
      </c>
      <c r="AV153">
        <f t="shared" si="69"/>
        <v>104086.78715230251</v>
      </c>
      <c r="AW153">
        <f t="shared" si="69"/>
        <v>120652.86609943878</v>
      </c>
      <c r="BB153" t="s">
        <v>194</v>
      </c>
      <c r="BC153">
        <f t="shared" ref="BC153:BL153" si="70">SUM(BC146,BC148:BC150)</f>
        <v>131899.56153190782</v>
      </c>
      <c r="BD153">
        <f t="shared" si="70"/>
        <v>127901.15410485439</v>
      </c>
      <c r="BE153">
        <f t="shared" si="70"/>
        <v>174363.89913778324</v>
      </c>
      <c r="BF153">
        <f t="shared" si="70"/>
        <v>136981.97723552905</v>
      </c>
      <c r="BG153">
        <f t="shared" si="70"/>
        <v>204184.56302684022</v>
      </c>
      <c r="BH153">
        <f t="shared" si="70"/>
        <v>179540.42842145299</v>
      </c>
      <c r="BI153">
        <f t="shared" si="70"/>
        <v>190615.19819860638</v>
      </c>
      <c r="BJ153">
        <f t="shared" si="70"/>
        <v>220364.49345233684</v>
      </c>
      <c r="BK153">
        <f t="shared" si="70"/>
        <v>132517.75298810453</v>
      </c>
      <c r="BL153">
        <f t="shared" si="70"/>
        <v>173682.55577355245</v>
      </c>
      <c r="BP153" t="s">
        <v>194</v>
      </c>
      <c r="BQ153">
        <f t="shared" ref="BQ153:BZ153" si="71">SUM(BQ146,BQ148:BQ150)</f>
        <v>120301.63536798241</v>
      </c>
      <c r="BR153">
        <f t="shared" si="71"/>
        <v>118392.72995706246</v>
      </c>
      <c r="BS153">
        <f t="shared" si="71"/>
        <v>153896.62196129517</v>
      </c>
      <c r="BT153">
        <f t="shared" si="71"/>
        <v>120950.56775711323</v>
      </c>
      <c r="BU153">
        <f t="shared" si="71"/>
        <v>177752.07879239271</v>
      </c>
      <c r="BV153">
        <f t="shared" si="71"/>
        <v>154953.84446963199</v>
      </c>
      <c r="BW153">
        <f t="shared" si="71"/>
        <v>161688.97492481244</v>
      </c>
      <c r="BX153">
        <f t="shared" si="71"/>
        <v>192870.27663104795</v>
      </c>
      <c r="BY153">
        <f t="shared" si="71"/>
        <v>118390.3447564099</v>
      </c>
      <c r="BZ153">
        <f t="shared" si="71"/>
        <v>149254.96204891836</v>
      </c>
      <c r="CD153" t="s">
        <v>194</v>
      </c>
      <c r="CE153">
        <f t="shared" ref="CE153:CN153" si="72">SUM(CE146,CE148:CE150)</f>
        <v>156505.08060258033</v>
      </c>
      <c r="CF153">
        <f t="shared" si="72"/>
        <v>166143.0668454651</v>
      </c>
      <c r="CG153">
        <f t="shared" si="72"/>
        <v>212446.1281822829</v>
      </c>
      <c r="CH153">
        <f t="shared" si="72"/>
        <v>149428.72448058354</v>
      </c>
      <c r="CI153">
        <f t="shared" si="72"/>
        <v>208332.29197049607</v>
      </c>
      <c r="CJ153">
        <f t="shared" si="72"/>
        <v>173396.80787514063</v>
      </c>
      <c r="CK153">
        <f t="shared" si="72"/>
        <v>175110.74094795709</v>
      </c>
      <c r="CL153">
        <f t="shared" si="72"/>
        <v>217893.07490721362</v>
      </c>
      <c r="CM153">
        <f t="shared" si="72"/>
        <v>151244.86595995011</v>
      </c>
      <c r="CN153">
        <f t="shared" si="72"/>
        <v>207126.04080897616</v>
      </c>
    </row>
    <row r="154" spans="39:92" ht="15" customHeight="1" x14ac:dyDescent="0.35">
      <c r="AM154" t="s">
        <v>335</v>
      </c>
      <c r="AN154">
        <f t="shared" ref="AN154:AW154" si="73">AN153-AN144</f>
        <v>-12818.458275407073</v>
      </c>
      <c r="AO154">
        <f t="shared" si="73"/>
        <v>819.16418772330508</v>
      </c>
      <c r="AP154">
        <f t="shared" si="73"/>
        <v>25990.869650578927</v>
      </c>
      <c r="AQ154">
        <f t="shared" si="73"/>
        <v>5792.4172757249471</v>
      </c>
      <c r="AR154">
        <f t="shared" si="73"/>
        <v>25260.21261283895</v>
      </c>
      <c r="AS154">
        <f t="shared" si="73"/>
        <v>-23961.996898253186</v>
      </c>
      <c r="AT154">
        <f t="shared" si="73"/>
        <v>-21187.332883499854</v>
      </c>
      <c r="AU154">
        <f t="shared" si="73"/>
        <v>9403.7805596433172</v>
      </c>
      <c r="AV154">
        <f t="shared" si="73"/>
        <v>-55421.406339342153</v>
      </c>
      <c r="AW154">
        <f t="shared" si="73"/>
        <v>-12650.409890007111</v>
      </c>
      <c r="BB154" t="s">
        <v>335</v>
      </c>
      <c r="BC154">
        <f t="shared" ref="BC154:BL154" si="74">BC153-BC144</f>
        <v>30512.707842232106</v>
      </c>
      <c r="BD154">
        <f t="shared" si="74"/>
        <v>39187.657126388134</v>
      </c>
      <c r="BE154">
        <f t="shared" si="74"/>
        <v>85650.402159316989</v>
      </c>
      <c r="BF154">
        <f t="shared" si="74"/>
        <v>48268.480257062794</v>
      </c>
      <c r="BG154">
        <f t="shared" si="74"/>
        <v>81675.448151815406</v>
      </c>
      <c r="BH154">
        <f t="shared" si="74"/>
        <v>31684.600124009245</v>
      </c>
      <c r="BI154">
        <f t="shared" si="74"/>
        <v>42759.36990116263</v>
      </c>
      <c r="BJ154">
        <f t="shared" si="74"/>
        <v>76733.117391962936</v>
      </c>
      <c r="BK154">
        <f t="shared" si="74"/>
        <v>-15338.075309339212</v>
      </c>
      <c r="BL154">
        <f t="shared" si="74"/>
        <v>50117.327839260179</v>
      </c>
      <c r="BP154" t="s">
        <v>335</v>
      </c>
      <c r="BQ154">
        <f t="shared" ref="BQ154:BZ154" si="75">BQ153-BQ144</f>
        <v>32480.91605304426</v>
      </c>
      <c r="BR154">
        <f t="shared" si="75"/>
        <v>34963.046607871205</v>
      </c>
      <c r="BS154">
        <f t="shared" si="75"/>
        <v>77053.492560724291</v>
      </c>
      <c r="BT154">
        <f t="shared" si="75"/>
        <v>33129.848442175076</v>
      </c>
      <c r="BU154">
        <f t="shared" si="75"/>
        <v>50412.035785732398</v>
      </c>
      <c r="BV154">
        <f t="shared" si="75"/>
        <v>18831.729531477875</v>
      </c>
      <c r="BW154">
        <f t="shared" si="75"/>
        <v>29957.895952405204</v>
      </c>
      <c r="BX154">
        <f t="shared" si="75"/>
        <v>56748.161692893831</v>
      </c>
      <c r="BY154">
        <f t="shared" si="75"/>
        <v>-30904.87807898497</v>
      </c>
      <c r="BZ154">
        <f t="shared" si="75"/>
        <v>12035.088119327498</v>
      </c>
      <c r="CD154" t="s">
        <v>335</v>
      </c>
      <c r="CE154">
        <f t="shared" ref="CE154:CN154" si="76">CE153-CE144</f>
        <v>66317.4743754214</v>
      </c>
      <c r="CF154">
        <f t="shared" si="76"/>
        <v>87228.911396701034</v>
      </c>
      <c r="CG154">
        <f t="shared" si="76"/>
        <v>146684.33197497952</v>
      </c>
      <c r="CH154">
        <f t="shared" si="76"/>
        <v>74272.38595795109</v>
      </c>
      <c r="CI154">
        <f t="shared" si="76"/>
        <v>99355.601112679025</v>
      </c>
      <c r="CJ154">
        <f t="shared" si="76"/>
        <v>51267.757775862905</v>
      </c>
      <c r="CK154">
        <f t="shared" si="76"/>
        <v>52981.690848679369</v>
      </c>
      <c r="CL154">
        <f t="shared" si="76"/>
        <v>86369.482492606854</v>
      </c>
      <c r="CM154">
        <f t="shared" si="76"/>
        <v>10326.731230014266</v>
      </c>
      <c r="CN154">
        <f t="shared" si="76"/>
        <v>89694.261867362962</v>
      </c>
    </row>
    <row r="157" spans="39:92" ht="15" customHeight="1" x14ac:dyDescent="0.35">
      <c r="AM157" t="s">
        <v>338</v>
      </c>
      <c r="AN157">
        <f>SUMIF(AN154:AW154,"&lt;0")</f>
        <v>-126039.60428650938</v>
      </c>
      <c r="BB157" t="s">
        <v>341</v>
      </c>
      <c r="BC157">
        <f>SUMIF(BC154:BL154,"&lt;0")</f>
        <v>-15338.075309339212</v>
      </c>
      <c r="BP157" t="s">
        <v>338</v>
      </c>
      <c r="BQ157">
        <f>SUMIF(BQ154:BZ154,"&lt;0")</f>
        <v>-30904.87807898497</v>
      </c>
      <c r="CD157" t="s">
        <v>338</v>
      </c>
      <c r="CE157">
        <f>SUMIF(CE154:CN154,"&lt;0")</f>
        <v>0</v>
      </c>
    </row>
  </sheetData>
  <mergeCells count="5">
    <mergeCell ref="AP6:AR6"/>
    <mergeCell ref="N42:U42"/>
    <mergeCell ref="Y42:AD42"/>
    <mergeCell ref="BE3:BH3"/>
    <mergeCell ref="BE9:BE10"/>
  </mergeCells>
  <conditionalFormatting sqref="D2:D13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{D934FB9F-23B0-4768-8CF1-27448B6AF16C}</x14:id>
        </ext>
      </extLst>
    </cfRule>
  </conditionalFormatting>
  <conditionalFormatting sqref="M20:M21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{F050B3E5-3580-4507-994D-25439EDA8FDF}</x14:id>
        </ext>
      </extLst>
    </cfRule>
  </conditionalFormatting>
  <conditionalFormatting sqref="AU8:AU18">
    <cfRule type="colorScale" priority="6">
      <colorScale>
        <cfvo type="min"/>
        <cfvo type="max"/>
        <color rgb="FFF8696B"/>
        <color rgb="FFFCFCFF"/>
      </colorScale>
    </cfRule>
  </conditionalFormatting>
  <conditionalFormatting sqref="AU8:AU19">
    <cfRule type="colorScale" priority="5">
      <colorScale>
        <cfvo type="min"/>
        <cfvo type="max"/>
        <color rgb="FFF8696B"/>
        <color rgb="FFFCFCFF"/>
      </colorScale>
    </cfRule>
  </conditionalFormatting>
  <conditionalFormatting sqref="AW8:AW19">
    <cfRule type="colorScale" priority="8">
      <colorScale>
        <cfvo type="min"/>
        <cfvo type="max"/>
        <color rgb="FFF8696B"/>
        <color rgb="FFFCFCFF"/>
      </colorScale>
    </cfRule>
  </conditionalFormatting>
  <conditionalFormatting sqref="BF4">
    <cfRule type="colorScale" priority="7">
      <colorScale>
        <cfvo type="min"/>
        <cfvo type="max"/>
        <color rgb="FFF8696B"/>
        <color rgb="FFFCFCFF"/>
      </colorScale>
    </cfRule>
  </conditionalFormatting>
  <conditionalFormatting sqref="BF20">
    <cfRule type="colorScale" priority="4">
      <colorScale>
        <cfvo type="min"/>
        <cfvo type="max"/>
        <color rgb="FFF8696B"/>
        <color rgb="FFFCFCFF"/>
      </colorScale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934FB9F-23B0-4768-8CF1-27448B6AF16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D2:D13</xm:sqref>
        </x14:conditionalFormatting>
        <x14:conditionalFormatting xmlns:xm="http://schemas.microsoft.com/office/excel/2006/main">
          <x14:cfRule type="dataBar" id="{F050B3E5-3580-4507-994D-25439EDA8FD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M20:M21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525211-D25C-446F-8BFB-9DC269674D59}">
  <sheetPr>
    <tabColor theme="5"/>
  </sheetPr>
  <dimension ref="A1:EK188"/>
  <sheetViews>
    <sheetView topLeftCell="AR29" zoomScale="70" zoomScaleNormal="70" workbookViewId="0">
      <selection activeCell="BE47" sqref="BE47"/>
    </sheetView>
  </sheetViews>
  <sheetFormatPr defaultRowHeight="14.5" x14ac:dyDescent="0.35"/>
  <cols>
    <col min="1" max="1" width="10.26953125" customWidth="1"/>
    <col min="2" max="2" width="6.26953125" bestFit="1" customWidth="1"/>
    <col min="3" max="3" width="22.7265625" bestFit="1" customWidth="1"/>
    <col min="4" max="40" width="10.453125" bestFit="1" customWidth="1"/>
    <col min="49" max="49" width="26.1796875" bestFit="1" customWidth="1"/>
    <col min="50" max="61" width="10.453125" bestFit="1" customWidth="1"/>
    <col min="111" max="111" width="14.453125" bestFit="1" customWidth="1"/>
  </cols>
  <sheetData>
    <row r="1" spans="1:112" x14ac:dyDescent="0.35">
      <c r="A1" s="160" t="s">
        <v>342</v>
      </c>
      <c r="B1" s="161"/>
      <c r="C1" s="164" t="s">
        <v>1</v>
      </c>
      <c r="D1" s="158"/>
      <c r="E1" s="158"/>
      <c r="F1" s="158"/>
      <c r="G1" s="158"/>
      <c r="H1" s="158"/>
      <c r="I1" s="158"/>
      <c r="J1" s="158"/>
      <c r="K1" s="158"/>
      <c r="L1" s="158"/>
      <c r="M1" s="158"/>
      <c r="N1" s="158"/>
      <c r="O1" s="158"/>
      <c r="P1" s="158"/>
      <c r="Q1" s="158"/>
      <c r="R1" s="158"/>
      <c r="S1" s="158"/>
      <c r="T1" s="158"/>
      <c r="U1" s="158"/>
      <c r="V1" s="158"/>
      <c r="W1" s="158"/>
      <c r="X1" s="158"/>
      <c r="Y1" s="158"/>
      <c r="Z1" s="158"/>
      <c r="AA1" s="158"/>
      <c r="AB1" s="158"/>
      <c r="AC1" s="158"/>
      <c r="AD1" s="158"/>
      <c r="AE1" s="158"/>
      <c r="AF1" s="158"/>
      <c r="AG1" s="158"/>
      <c r="AH1" s="158"/>
      <c r="AI1" s="158"/>
      <c r="AJ1" s="158"/>
      <c r="AK1" s="158"/>
      <c r="AL1" s="158"/>
      <c r="AM1" s="158"/>
      <c r="AN1" s="3"/>
      <c r="AU1" s="46" t="s">
        <v>0</v>
      </c>
      <c r="AV1" s="47"/>
      <c r="AW1" s="49" t="s">
        <v>1</v>
      </c>
      <c r="AX1" s="50"/>
      <c r="AY1" s="50"/>
      <c r="AZ1" s="50"/>
      <c r="BA1" s="50"/>
      <c r="BB1" s="50"/>
      <c r="BC1" s="50"/>
      <c r="BD1" s="50"/>
      <c r="BE1" s="50"/>
      <c r="BF1" s="50"/>
      <c r="BG1" s="50"/>
      <c r="BH1" s="50"/>
      <c r="BI1" s="3"/>
      <c r="CQ1" t="s">
        <v>152</v>
      </c>
      <c r="CR1">
        <v>0</v>
      </c>
      <c r="CS1">
        <v>2.4</v>
      </c>
      <c r="CT1">
        <v>4.8</v>
      </c>
      <c r="CU1">
        <v>7.1999999999999993</v>
      </c>
      <c r="CV1">
        <v>9.6</v>
      </c>
      <c r="CW1">
        <v>12</v>
      </c>
      <c r="CX1">
        <v>14.399999999999999</v>
      </c>
      <c r="CY1">
        <v>16.8</v>
      </c>
      <c r="CZ1">
        <v>19.2</v>
      </c>
      <c r="DA1">
        <v>21.599999999999998</v>
      </c>
      <c r="DD1" t="s">
        <v>102</v>
      </c>
      <c r="DG1" s="29" t="s">
        <v>91</v>
      </c>
      <c r="DH1" t="s">
        <v>343</v>
      </c>
    </row>
    <row r="2" spans="1:112" ht="14.5" customHeight="1" x14ac:dyDescent="0.35">
      <c r="A2" s="162"/>
      <c r="B2" s="163"/>
      <c r="C2" s="8"/>
      <c r="D2" s="178" t="s">
        <v>4</v>
      </c>
      <c r="E2" s="178" t="s">
        <v>5</v>
      </c>
      <c r="F2" s="178" t="s">
        <v>6</v>
      </c>
      <c r="G2" s="178" t="s">
        <v>7</v>
      </c>
      <c r="H2" s="178" t="s">
        <v>8</v>
      </c>
      <c r="I2" s="178" t="s">
        <v>9</v>
      </c>
      <c r="J2" s="178" t="s">
        <v>10</v>
      </c>
      <c r="K2" s="178" t="s">
        <v>11</v>
      </c>
      <c r="L2" s="178" t="s">
        <v>12</v>
      </c>
      <c r="M2" s="178" t="s">
        <v>13</v>
      </c>
      <c r="N2" s="178" t="s">
        <v>14</v>
      </c>
      <c r="O2" s="178" t="s">
        <v>15</v>
      </c>
      <c r="P2" s="178" t="s">
        <v>16</v>
      </c>
      <c r="Q2" s="178" t="s">
        <v>17</v>
      </c>
      <c r="R2" s="178" t="s">
        <v>18</v>
      </c>
      <c r="S2" s="178" t="s">
        <v>19</v>
      </c>
      <c r="T2" s="178" t="s">
        <v>20</v>
      </c>
      <c r="U2" s="178" t="s">
        <v>21</v>
      </c>
      <c r="V2" s="178" t="s">
        <v>22</v>
      </c>
      <c r="W2" s="178" t="s">
        <v>23</v>
      </c>
      <c r="X2" s="178" t="s">
        <v>24</v>
      </c>
      <c r="Y2" s="178" t="s">
        <v>25</v>
      </c>
      <c r="Z2" s="178" t="s">
        <v>26</v>
      </c>
      <c r="AA2" s="178" t="s">
        <v>27</v>
      </c>
      <c r="AB2" s="178" t="s">
        <v>28</v>
      </c>
      <c r="AC2" s="178" t="s">
        <v>29</v>
      </c>
      <c r="AD2" s="178" t="s">
        <v>30</v>
      </c>
      <c r="AE2" s="178" t="s">
        <v>31</v>
      </c>
      <c r="AF2" s="178" t="s">
        <v>32</v>
      </c>
      <c r="AG2" s="178" t="s">
        <v>33</v>
      </c>
      <c r="AH2" s="178" t="s">
        <v>34</v>
      </c>
      <c r="AI2" s="178" t="s">
        <v>35</v>
      </c>
      <c r="AJ2" s="178" t="s">
        <v>36</v>
      </c>
      <c r="AK2" s="178" t="s">
        <v>37</v>
      </c>
      <c r="AL2" s="178" t="s">
        <v>38</v>
      </c>
      <c r="AM2" s="178" t="s">
        <v>39</v>
      </c>
      <c r="AN2" s="178" t="s">
        <v>40</v>
      </c>
      <c r="AU2" s="48"/>
      <c r="AV2" s="55"/>
      <c r="AW2" s="8"/>
      <c r="AX2" s="52" t="s">
        <v>39</v>
      </c>
      <c r="AY2" s="53"/>
      <c r="AZ2" s="53"/>
      <c r="BA2" s="53"/>
      <c r="BB2" s="53"/>
      <c r="BC2" s="53"/>
      <c r="BD2" s="53"/>
      <c r="BE2" s="53"/>
      <c r="BF2" s="53"/>
      <c r="BG2" s="53"/>
      <c r="BH2" s="53"/>
      <c r="BI2" s="54"/>
      <c r="CQ2" t="s">
        <v>153</v>
      </c>
      <c r="CR2" t="s">
        <v>154</v>
      </c>
      <c r="CS2" t="s">
        <v>155</v>
      </c>
      <c r="CT2" t="s">
        <v>156</v>
      </c>
      <c r="CU2" t="s">
        <v>157</v>
      </c>
      <c r="CV2" t="s">
        <v>158</v>
      </c>
      <c r="CW2" t="s">
        <v>159</v>
      </c>
      <c r="CX2" t="s">
        <v>160</v>
      </c>
      <c r="CY2" t="s">
        <v>161</v>
      </c>
      <c r="CZ2" t="s">
        <v>162</v>
      </c>
      <c r="DA2" t="s">
        <v>163</v>
      </c>
    </row>
    <row r="3" spans="1:112" x14ac:dyDescent="0.35">
      <c r="A3" s="162"/>
      <c r="B3" s="163"/>
      <c r="C3" s="8"/>
      <c r="D3" s="179"/>
      <c r="E3" s="179"/>
      <c r="F3" s="179"/>
      <c r="G3" s="179"/>
      <c r="H3" s="179"/>
      <c r="I3" s="179"/>
      <c r="J3" s="179"/>
      <c r="K3" s="179"/>
      <c r="L3" s="179"/>
      <c r="M3" s="179"/>
      <c r="N3" s="179"/>
      <c r="O3" s="179"/>
      <c r="P3" s="179"/>
      <c r="Q3" s="179"/>
      <c r="R3" s="179"/>
      <c r="S3" s="179"/>
      <c r="T3" s="179"/>
      <c r="U3" s="179"/>
      <c r="V3" s="179"/>
      <c r="W3" s="179"/>
      <c r="X3" s="179"/>
      <c r="Y3" s="179"/>
      <c r="Z3" s="179"/>
      <c r="AA3" s="179"/>
      <c r="AB3" s="179"/>
      <c r="AC3" s="179"/>
      <c r="AD3" s="179"/>
      <c r="AE3" s="179"/>
      <c r="AF3" s="179"/>
      <c r="AG3" s="179"/>
      <c r="AH3" s="179"/>
      <c r="AI3" s="179"/>
      <c r="AJ3" s="179"/>
      <c r="AK3" s="179"/>
      <c r="AL3" s="179"/>
      <c r="AM3" s="179"/>
      <c r="AN3" s="179"/>
      <c r="AU3" s="48"/>
      <c r="AV3" s="55"/>
      <c r="AW3" s="8"/>
      <c r="AX3" s="5" t="s">
        <v>41</v>
      </c>
      <c r="AY3" s="5" t="s">
        <v>42</v>
      </c>
      <c r="AZ3" s="5" t="s">
        <v>43</v>
      </c>
      <c r="BA3" s="5" t="s">
        <v>44</v>
      </c>
      <c r="BB3" s="5" t="s">
        <v>45</v>
      </c>
      <c r="BC3" s="5" t="s">
        <v>46</v>
      </c>
      <c r="BD3" s="5" t="s">
        <v>47</v>
      </c>
      <c r="BE3" s="5" t="s">
        <v>48</v>
      </c>
      <c r="BF3" s="5" t="s">
        <v>49</v>
      </c>
      <c r="BG3" s="5" t="s">
        <v>50</v>
      </c>
      <c r="BH3" s="5" t="s">
        <v>51</v>
      </c>
      <c r="BI3" s="5" t="s">
        <v>52</v>
      </c>
      <c r="CQ3" s="25" t="s">
        <v>164</v>
      </c>
      <c r="CR3" s="25">
        <v>6</v>
      </c>
      <c r="CS3" s="25">
        <v>5</v>
      </c>
      <c r="CT3" s="25">
        <v>5</v>
      </c>
      <c r="CU3" s="25">
        <v>5.5</v>
      </c>
      <c r="CV3" s="25">
        <v>7</v>
      </c>
      <c r="CW3" s="25">
        <v>7.5</v>
      </c>
      <c r="CX3" s="25">
        <v>7.5</v>
      </c>
      <c r="CY3" s="25">
        <v>8</v>
      </c>
      <c r="CZ3" s="25">
        <v>9</v>
      </c>
      <c r="DA3" s="25">
        <v>9</v>
      </c>
      <c r="DB3" s="25"/>
      <c r="DD3">
        <f t="shared" ref="DD3:DD26" si="0">SUM(CR3:DB3)</f>
        <v>69.5</v>
      </c>
    </row>
    <row r="4" spans="1:112" x14ac:dyDescent="0.35">
      <c r="A4" s="4"/>
      <c r="B4" s="168" t="s">
        <v>53</v>
      </c>
      <c r="C4" s="5" t="s">
        <v>55</v>
      </c>
      <c r="D4" s="1">
        <v>0</v>
      </c>
      <c r="E4" s="1">
        <v>0</v>
      </c>
      <c r="F4" s="1">
        <v>0</v>
      </c>
      <c r="G4" s="1">
        <v>0</v>
      </c>
      <c r="H4" s="1">
        <v>0</v>
      </c>
      <c r="I4" s="1">
        <v>0</v>
      </c>
      <c r="J4" s="1">
        <v>0</v>
      </c>
      <c r="K4" s="1">
        <v>0</v>
      </c>
      <c r="L4" s="1">
        <v>0</v>
      </c>
      <c r="M4" s="1">
        <v>0</v>
      </c>
      <c r="N4" s="1">
        <v>0</v>
      </c>
      <c r="O4" s="2" t="s">
        <v>57</v>
      </c>
      <c r="P4" s="1">
        <v>0</v>
      </c>
      <c r="Q4" s="1">
        <v>0</v>
      </c>
      <c r="R4" s="1">
        <v>0</v>
      </c>
      <c r="S4" s="1">
        <v>0</v>
      </c>
      <c r="T4" s="1">
        <v>0</v>
      </c>
      <c r="U4" s="1">
        <v>0</v>
      </c>
      <c r="V4" s="1">
        <v>0</v>
      </c>
      <c r="W4" s="1">
        <v>0</v>
      </c>
      <c r="X4" s="1">
        <v>0</v>
      </c>
      <c r="Y4" s="1">
        <v>0</v>
      </c>
      <c r="Z4" s="2" t="s">
        <v>57</v>
      </c>
      <c r="AA4" s="2" t="s">
        <v>57</v>
      </c>
      <c r="AB4" s="2" t="s">
        <v>57</v>
      </c>
      <c r="AC4" s="2" t="s">
        <v>57</v>
      </c>
      <c r="AD4" s="2" t="s">
        <v>57</v>
      </c>
      <c r="AE4" s="1">
        <v>0</v>
      </c>
      <c r="AF4" s="1">
        <v>0</v>
      </c>
      <c r="AG4" s="1">
        <v>0</v>
      </c>
      <c r="AH4" s="1">
        <v>0</v>
      </c>
      <c r="AI4" s="1">
        <v>0</v>
      </c>
      <c r="AJ4" s="1">
        <v>0</v>
      </c>
      <c r="AK4" s="1">
        <v>0</v>
      </c>
      <c r="AL4" s="1">
        <v>0</v>
      </c>
      <c r="AM4" s="1">
        <v>0</v>
      </c>
      <c r="AN4" s="1">
        <v>0</v>
      </c>
      <c r="AP4" s="5" t="s">
        <v>55</v>
      </c>
      <c r="AS4" s="5" t="s">
        <v>54</v>
      </c>
      <c r="AU4" s="4"/>
      <c r="AV4" s="43" t="s">
        <v>53</v>
      </c>
      <c r="AW4" s="5" t="s">
        <v>55</v>
      </c>
      <c r="AX4" s="1">
        <v>0</v>
      </c>
      <c r="AY4" s="1">
        <v>0</v>
      </c>
      <c r="AZ4" s="1">
        <v>0</v>
      </c>
      <c r="BA4" s="1">
        <v>0</v>
      </c>
      <c r="BB4" s="1">
        <v>0</v>
      </c>
      <c r="BC4" s="1">
        <v>0</v>
      </c>
      <c r="BD4" s="1">
        <v>0</v>
      </c>
      <c r="BE4" s="1">
        <v>0</v>
      </c>
      <c r="BF4" s="1">
        <v>0</v>
      </c>
      <c r="BG4" s="1">
        <v>0</v>
      </c>
      <c r="BH4" s="1">
        <v>0</v>
      </c>
      <c r="BI4" s="1">
        <v>0</v>
      </c>
      <c r="CR4">
        <f t="shared" ref="CR4:DA4" si="1">CR3/$DD$3</f>
        <v>8.6330935251798566E-2</v>
      </c>
      <c r="CS4">
        <f t="shared" si="1"/>
        <v>7.1942446043165464E-2</v>
      </c>
      <c r="CT4">
        <f t="shared" si="1"/>
        <v>7.1942446043165464E-2</v>
      </c>
      <c r="CU4">
        <f t="shared" si="1"/>
        <v>7.9136690647482008E-2</v>
      </c>
      <c r="CV4">
        <f t="shared" si="1"/>
        <v>0.10071942446043165</v>
      </c>
      <c r="CW4">
        <f t="shared" si="1"/>
        <v>0.1079136690647482</v>
      </c>
      <c r="CX4">
        <f t="shared" si="1"/>
        <v>0.1079136690647482</v>
      </c>
      <c r="CY4">
        <f t="shared" si="1"/>
        <v>0.11510791366906475</v>
      </c>
      <c r="CZ4">
        <f t="shared" si="1"/>
        <v>0.12949640287769784</v>
      </c>
      <c r="DA4">
        <f t="shared" si="1"/>
        <v>0.12949640287769784</v>
      </c>
      <c r="DD4">
        <f t="shared" si="0"/>
        <v>1</v>
      </c>
    </row>
    <row r="5" spans="1:112" x14ac:dyDescent="0.35">
      <c r="A5" s="4"/>
      <c r="B5" s="169"/>
      <c r="C5" s="5" t="s">
        <v>344</v>
      </c>
      <c r="D5" s="2" t="s">
        <v>57</v>
      </c>
      <c r="E5" s="2" t="s">
        <v>57</v>
      </c>
      <c r="F5" s="2" t="s">
        <v>57</v>
      </c>
      <c r="G5" s="2" t="s">
        <v>57</v>
      </c>
      <c r="H5" s="2" t="s">
        <v>57</v>
      </c>
      <c r="I5" s="2" t="s">
        <v>57</v>
      </c>
      <c r="J5" s="2" t="s">
        <v>57</v>
      </c>
      <c r="K5" s="2" t="s">
        <v>57</v>
      </c>
      <c r="L5" s="2" t="s">
        <v>57</v>
      </c>
      <c r="M5" s="2" t="s">
        <v>57</v>
      </c>
      <c r="N5" s="2" t="s">
        <v>57</v>
      </c>
      <c r="O5" s="2" t="s">
        <v>57</v>
      </c>
      <c r="P5" s="2" t="s">
        <v>57</v>
      </c>
      <c r="Q5" s="2" t="s">
        <v>57</v>
      </c>
      <c r="R5" s="2" t="s">
        <v>57</v>
      </c>
      <c r="S5" s="2" t="s">
        <v>57</v>
      </c>
      <c r="T5" s="2" t="s">
        <v>57</v>
      </c>
      <c r="U5" s="2" t="s">
        <v>57</v>
      </c>
      <c r="V5" s="2" t="s">
        <v>57</v>
      </c>
      <c r="W5" s="2" t="s">
        <v>57</v>
      </c>
      <c r="X5" s="2" t="s">
        <v>57</v>
      </c>
      <c r="Y5" s="2" t="s">
        <v>57</v>
      </c>
      <c r="Z5" s="2" t="s">
        <v>57</v>
      </c>
      <c r="AA5" s="2" t="s">
        <v>57</v>
      </c>
      <c r="AB5" s="2" t="s">
        <v>57</v>
      </c>
      <c r="AC5" s="2" t="s">
        <v>57</v>
      </c>
      <c r="AD5" s="2" t="s">
        <v>57</v>
      </c>
      <c r="AE5" s="1">
        <v>0</v>
      </c>
      <c r="AF5" s="1">
        <v>0</v>
      </c>
      <c r="AG5" s="1">
        <v>0</v>
      </c>
      <c r="AH5" s="1">
        <v>0</v>
      </c>
      <c r="AI5" s="1">
        <v>0</v>
      </c>
      <c r="AJ5" s="1">
        <v>0</v>
      </c>
      <c r="AK5" s="1">
        <v>0</v>
      </c>
      <c r="AL5" s="1">
        <v>0</v>
      </c>
      <c r="AM5" s="1">
        <v>0</v>
      </c>
      <c r="AN5" s="1">
        <v>0</v>
      </c>
      <c r="AP5" s="5" t="s">
        <v>344</v>
      </c>
      <c r="AS5" s="5" t="s">
        <v>56</v>
      </c>
      <c r="AU5" s="4"/>
      <c r="AV5" s="44"/>
      <c r="AW5" s="5" t="s">
        <v>58</v>
      </c>
      <c r="AX5" s="1">
        <v>0</v>
      </c>
      <c r="AY5" s="1">
        <v>0</v>
      </c>
      <c r="AZ5" s="1">
        <v>0</v>
      </c>
      <c r="BA5" s="1">
        <v>0</v>
      </c>
      <c r="BB5" s="1">
        <v>0</v>
      </c>
      <c r="BC5" s="1">
        <v>0</v>
      </c>
      <c r="BD5" s="1">
        <v>0</v>
      </c>
      <c r="BE5" s="1">
        <v>0</v>
      </c>
      <c r="BF5" s="1">
        <v>0</v>
      </c>
      <c r="BG5" s="1">
        <v>0</v>
      </c>
      <c r="BH5" s="1">
        <v>0</v>
      </c>
      <c r="BI5" s="1">
        <v>0</v>
      </c>
      <c r="CC5" t="s">
        <v>100</v>
      </c>
      <c r="CD5" t="s">
        <v>101</v>
      </c>
      <c r="CQ5" s="25" t="s">
        <v>165</v>
      </c>
      <c r="CR5" s="25">
        <v>6</v>
      </c>
      <c r="CS5" s="25">
        <v>5</v>
      </c>
      <c r="CT5" s="25">
        <v>5</v>
      </c>
      <c r="CU5" s="25">
        <v>5.5</v>
      </c>
      <c r="CV5" s="25">
        <v>6.5</v>
      </c>
      <c r="CW5" s="25">
        <v>7</v>
      </c>
      <c r="CX5" s="25">
        <v>7</v>
      </c>
      <c r="CY5" s="25">
        <v>7</v>
      </c>
      <c r="CZ5" s="25">
        <v>9</v>
      </c>
      <c r="DA5" s="25">
        <v>9</v>
      </c>
      <c r="DB5" s="25"/>
      <c r="DD5">
        <f t="shared" si="0"/>
        <v>67</v>
      </c>
    </row>
    <row r="6" spans="1:112" x14ac:dyDescent="0.35">
      <c r="A6" s="4"/>
      <c r="B6" s="169"/>
      <c r="C6" s="5" t="s">
        <v>59</v>
      </c>
      <c r="D6" s="1">
        <v>0</v>
      </c>
      <c r="E6" s="1">
        <v>0</v>
      </c>
      <c r="F6" s="1">
        <v>0</v>
      </c>
      <c r="G6" s="1">
        <v>0</v>
      </c>
      <c r="H6" s="1">
        <v>0</v>
      </c>
      <c r="I6" s="1">
        <v>0</v>
      </c>
      <c r="J6" s="1">
        <v>0</v>
      </c>
      <c r="K6" s="1">
        <v>0</v>
      </c>
      <c r="L6" s="1">
        <v>0</v>
      </c>
      <c r="M6" s="1">
        <v>0</v>
      </c>
      <c r="N6" s="1">
        <v>0</v>
      </c>
      <c r="O6" s="2" t="s">
        <v>57</v>
      </c>
      <c r="P6" s="1">
        <v>0</v>
      </c>
      <c r="Q6" s="1">
        <v>0</v>
      </c>
      <c r="R6" s="1">
        <v>0</v>
      </c>
      <c r="S6" s="1">
        <v>1213010</v>
      </c>
      <c r="T6" s="1">
        <v>2079830</v>
      </c>
      <c r="U6" s="1">
        <v>2710160</v>
      </c>
      <c r="V6" s="1">
        <v>2908380</v>
      </c>
      <c r="W6" s="1">
        <v>3551230</v>
      </c>
      <c r="X6" s="1">
        <v>2908000</v>
      </c>
      <c r="Y6" s="1">
        <v>2641480</v>
      </c>
      <c r="Z6" s="1">
        <v>2591540</v>
      </c>
      <c r="AA6" s="1">
        <v>2943900</v>
      </c>
      <c r="AB6" s="1">
        <v>2807340</v>
      </c>
      <c r="AC6" s="1">
        <v>1625640</v>
      </c>
      <c r="AD6" s="1">
        <v>4219690</v>
      </c>
      <c r="AE6" s="1">
        <v>7602500</v>
      </c>
      <c r="AF6" s="1">
        <v>6442259</v>
      </c>
      <c r="AG6" s="1">
        <v>5477199</v>
      </c>
      <c r="AH6" s="1">
        <v>4749315</v>
      </c>
      <c r="AI6" s="1">
        <v>5965106</v>
      </c>
      <c r="AJ6" s="1">
        <v>6755415</v>
      </c>
      <c r="AK6" s="1">
        <v>6255540</v>
      </c>
      <c r="AL6" s="1">
        <v>6905008</v>
      </c>
      <c r="AM6" s="1">
        <v>5310488</v>
      </c>
      <c r="AN6" s="1">
        <v>3634474</v>
      </c>
      <c r="AP6" s="5" t="s">
        <v>59</v>
      </c>
      <c r="AS6" s="5" t="s">
        <v>59</v>
      </c>
      <c r="AU6" s="4"/>
      <c r="AV6" s="44"/>
      <c r="AW6" s="5" t="s">
        <v>59</v>
      </c>
      <c r="AX6" s="1">
        <v>415062</v>
      </c>
      <c r="AY6" s="1">
        <v>299411</v>
      </c>
      <c r="AZ6" s="1">
        <v>590961</v>
      </c>
      <c r="BA6" s="1">
        <v>622785</v>
      </c>
      <c r="BB6" s="1">
        <v>503698</v>
      </c>
      <c r="BC6" s="1">
        <v>483076</v>
      </c>
      <c r="BD6" s="1">
        <v>216628</v>
      </c>
      <c r="BE6" s="1">
        <v>169967</v>
      </c>
      <c r="BF6" s="1">
        <v>407100</v>
      </c>
      <c r="BG6" s="1">
        <v>500718</v>
      </c>
      <c r="BH6" s="1">
        <v>473557</v>
      </c>
      <c r="BI6" s="1">
        <v>627525</v>
      </c>
      <c r="CC6" t="s">
        <v>103</v>
      </c>
      <c r="CD6" s="24" t="s">
        <v>104</v>
      </c>
      <c r="CR6">
        <f t="shared" ref="CR6:DA6" si="2">CR5/$DD$5</f>
        <v>8.9552238805970144E-2</v>
      </c>
      <c r="CS6">
        <f t="shared" si="2"/>
        <v>7.4626865671641784E-2</v>
      </c>
      <c r="CT6">
        <f t="shared" si="2"/>
        <v>7.4626865671641784E-2</v>
      </c>
      <c r="CU6">
        <f t="shared" si="2"/>
        <v>8.2089552238805971E-2</v>
      </c>
      <c r="CV6">
        <f t="shared" si="2"/>
        <v>9.7014925373134331E-2</v>
      </c>
      <c r="CW6">
        <f t="shared" si="2"/>
        <v>0.1044776119402985</v>
      </c>
      <c r="CX6">
        <f t="shared" si="2"/>
        <v>0.1044776119402985</v>
      </c>
      <c r="CY6">
        <f t="shared" si="2"/>
        <v>0.1044776119402985</v>
      </c>
      <c r="CZ6">
        <f t="shared" si="2"/>
        <v>0.13432835820895522</v>
      </c>
      <c r="DA6">
        <f t="shared" si="2"/>
        <v>0.13432835820895522</v>
      </c>
      <c r="DD6">
        <f t="shared" si="0"/>
        <v>0.99999999999999978</v>
      </c>
    </row>
    <row r="7" spans="1:112" x14ac:dyDescent="0.35">
      <c r="A7" s="4"/>
      <c r="B7" s="169"/>
      <c r="C7" s="5" t="s">
        <v>61</v>
      </c>
      <c r="D7" s="1">
        <v>0</v>
      </c>
      <c r="E7" s="1">
        <v>1642650</v>
      </c>
      <c r="F7" s="1">
        <v>13962650</v>
      </c>
      <c r="G7" s="1">
        <v>17808350</v>
      </c>
      <c r="H7" s="1">
        <v>19998340</v>
      </c>
      <c r="I7" s="1">
        <v>19936050</v>
      </c>
      <c r="J7" s="1">
        <v>20301080</v>
      </c>
      <c r="K7" s="1">
        <v>20031130</v>
      </c>
      <c r="L7" s="1">
        <v>21772190</v>
      </c>
      <c r="M7" s="1">
        <v>23796300</v>
      </c>
      <c r="N7" s="1">
        <v>24899250</v>
      </c>
      <c r="O7" s="1">
        <v>27043280</v>
      </c>
      <c r="P7" s="1">
        <v>33240530</v>
      </c>
      <c r="Q7" s="1">
        <v>34457920</v>
      </c>
      <c r="R7" s="1">
        <v>37632130</v>
      </c>
      <c r="S7" s="1">
        <v>37911550</v>
      </c>
      <c r="T7" s="1">
        <v>39018850</v>
      </c>
      <c r="U7" s="1">
        <v>43971420</v>
      </c>
      <c r="V7" s="1">
        <v>45682200</v>
      </c>
      <c r="W7" s="1">
        <v>46419240</v>
      </c>
      <c r="X7" s="1">
        <v>48350790</v>
      </c>
      <c r="Y7" s="1">
        <v>49831800</v>
      </c>
      <c r="Z7" s="1">
        <v>49752540</v>
      </c>
      <c r="AA7" s="1">
        <v>49940690</v>
      </c>
      <c r="AB7" s="1">
        <v>48942350</v>
      </c>
      <c r="AC7" s="1">
        <v>47274670</v>
      </c>
      <c r="AD7" s="1">
        <v>44640623</v>
      </c>
      <c r="AE7" s="1">
        <v>41149247</v>
      </c>
      <c r="AF7" s="1">
        <v>41687309</v>
      </c>
      <c r="AG7" s="1">
        <v>43285933</v>
      </c>
      <c r="AH7" s="1">
        <v>44584415</v>
      </c>
      <c r="AI7" s="1">
        <v>43237840</v>
      </c>
      <c r="AJ7" s="1">
        <v>41833753</v>
      </c>
      <c r="AK7" s="1">
        <v>41543973</v>
      </c>
      <c r="AL7" s="1">
        <v>43809921</v>
      </c>
      <c r="AM7" s="1">
        <v>45737257</v>
      </c>
      <c r="AN7" s="1">
        <v>29234101</v>
      </c>
      <c r="AP7" s="5" t="s">
        <v>61</v>
      </c>
      <c r="AS7" s="5" t="s">
        <v>61</v>
      </c>
      <c r="AU7" s="4"/>
      <c r="AV7" s="44"/>
      <c r="AW7" s="5" t="s">
        <v>61</v>
      </c>
      <c r="AX7" s="1">
        <v>3905010</v>
      </c>
      <c r="AY7" s="1">
        <v>3510873</v>
      </c>
      <c r="AZ7" s="1">
        <v>3594106</v>
      </c>
      <c r="BA7" s="1">
        <v>3346565</v>
      </c>
      <c r="BB7" s="1">
        <v>3524913</v>
      </c>
      <c r="BC7" s="1">
        <v>3570500</v>
      </c>
      <c r="BD7" s="1">
        <v>4488126</v>
      </c>
      <c r="BE7" s="1">
        <v>4715518</v>
      </c>
      <c r="BF7" s="1">
        <v>4134494</v>
      </c>
      <c r="BG7" s="1">
        <v>3704151</v>
      </c>
      <c r="BH7" s="1">
        <v>3576316</v>
      </c>
      <c r="BI7" s="1">
        <v>3666685</v>
      </c>
      <c r="CC7" t="s">
        <v>105</v>
      </c>
      <c r="CD7" t="s">
        <v>106</v>
      </c>
      <c r="CQ7" s="25" t="s">
        <v>167</v>
      </c>
      <c r="CR7" s="25">
        <v>5.5</v>
      </c>
      <c r="CS7" s="25">
        <v>4.5</v>
      </c>
      <c r="CT7" s="25">
        <v>4.5</v>
      </c>
      <c r="CU7" s="25">
        <v>4.5</v>
      </c>
      <c r="CV7" s="25">
        <v>6.5</v>
      </c>
      <c r="CW7" s="25">
        <v>7</v>
      </c>
      <c r="CX7" s="25">
        <v>7</v>
      </c>
      <c r="CY7" s="25">
        <v>6.5</v>
      </c>
      <c r="CZ7" s="25">
        <v>8.5</v>
      </c>
      <c r="DA7" s="25">
        <v>8.5</v>
      </c>
      <c r="DB7" s="25"/>
      <c r="DD7">
        <f t="shared" si="0"/>
        <v>63</v>
      </c>
    </row>
    <row r="8" spans="1:112" x14ac:dyDescent="0.35">
      <c r="A8" s="4"/>
      <c r="B8" s="169"/>
      <c r="C8" s="5" t="s">
        <v>63</v>
      </c>
      <c r="D8" s="1">
        <v>16138300</v>
      </c>
      <c r="E8" s="1">
        <v>16916550</v>
      </c>
      <c r="F8" s="1">
        <v>7257900</v>
      </c>
      <c r="G8" s="1">
        <v>5054400</v>
      </c>
      <c r="H8" s="1">
        <v>4762500</v>
      </c>
      <c r="I8" s="1">
        <v>5930400</v>
      </c>
      <c r="J8" s="1">
        <v>5934000</v>
      </c>
      <c r="K8" s="1">
        <v>7128400</v>
      </c>
      <c r="L8" s="1">
        <v>6720500</v>
      </c>
      <c r="M8" s="1">
        <v>5552900</v>
      </c>
      <c r="N8" s="1">
        <v>4757260</v>
      </c>
      <c r="O8" s="1">
        <v>4795380</v>
      </c>
      <c r="P8" s="1">
        <v>2003700</v>
      </c>
      <c r="Q8" s="1">
        <v>3159200</v>
      </c>
      <c r="R8" s="1">
        <v>2224700</v>
      </c>
      <c r="S8" s="1">
        <v>3746700</v>
      </c>
      <c r="T8" s="1">
        <v>2907900</v>
      </c>
      <c r="U8" s="1">
        <v>1177960</v>
      </c>
      <c r="V8" s="1">
        <v>1393420</v>
      </c>
      <c r="W8" s="1">
        <v>909345</v>
      </c>
      <c r="X8" s="1">
        <v>763115</v>
      </c>
      <c r="Y8" s="1">
        <v>249800</v>
      </c>
      <c r="Z8" s="1">
        <v>365785</v>
      </c>
      <c r="AA8" s="1">
        <v>105405</v>
      </c>
      <c r="AB8" s="1">
        <v>2490</v>
      </c>
      <c r="AC8" s="1">
        <v>4165</v>
      </c>
      <c r="AD8" s="1">
        <v>19480</v>
      </c>
      <c r="AE8" s="1">
        <v>52125</v>
      </c>
      <c r="AF8" s="1">
        <v>29400</v>
      </c>
      <c r="AG8" s="1">
        <v>10650</v>
      </c>
      <c r="AH8" s="1">
        <v>17705</v>
      </c>
      <c r="AI8" s="1">
        <v>29025</v>
      </c>
      <c r="AJ8" s="1">
        <v>25825</v>
      </c>
      <c r="AK8" s="1">
        <v>26975</v>
      </c>
      <c r="AL8" s="1">
        <v>26440</v>
      </c>
      <c r="AM8" s="1">
        <v>30748</v>
      </c>
      <c r="AN8" s="1">
        <v>11290</v>
      </c>
      <c r="AP8" s="5" t="s">
        <v>63</v>
      </c>
      <c r="AS8" s="5" t="s">
        <v>63</v>
      </c>
      <c r="AU8" s="4"/>
      <c r="AV8" s="44"/>
      <c r="AW8" s="5" t="s">
        <v>63</v>
      </c>
      <c r="AX8" s="1">
        <v>0</v>
      </c>
      <c r="AY8" s="1">
        <v>2312</v>
      </c>
      <c r="AZ8" s="1">
        <v>2376</v>
      </c>
      <c r="BA8" s="1">
        <v>56</v>
      </c>
      <c r="BB8" s="1">
        <v>325</v>
      </c>
      <c r="BC8" s="1">
        <v>6509</v>
      </c>
      <c r="BD8" s="1">
        <v>240</v>
      </c>
      <c r="BE8" s="1">
        <v>0</v>
      </c>
      <c r="BF8" s="1">
        <v>504</v>
      </c>
      <c r="BG8" s="1">
        <v>12213</v>
      </c>
      <c r="BH8" s="1">
        <v>2263</v>
      </c>
      <c r="BI8" s="1">
        <v>3950</v>
      </c>
      <c r="CC8" t="s">
        <v>108</v>
      </c>
      <c r="CD8" t="s">
        <v>109</v>
      </c>
      <c r="CR8">
        <f t="shared" ref="CR8:DA8" si="3">CR7/$DD$7</f>
        <v>8.7301587301587297E-2</v>
      </c>
      <c r="CS8">
        <f t="shared" si="3"/>
        <v>7.1428571428571425E-2</v>
      </c>
      <c r="CT8">
        <f t="shared" si="3"/>
        <v>7.1428571428571425E-2</v>
      </c>
      <c r="CU8">
        <f t="shared" si="3"/>
        <v>7.1428571428571425E-2</v>
      </c>
      <c r="CV8">
        <f t="shared" si="3"/>
        <v>0.10317460317460317</v>
      </c>
      <c r="CW8">
        <f t="shared" si="3"/>
        <v>0.1111111111111111</v>
      </c>
      <c r="CX8">
        <f t="shared" si="3"/>
        <v>0.1111111111111111</v>
      </c>
      <c r="CY8">
        <f t="shared" si="3"/>
        <v>0.10317460317460317</v>
      </c>
      <c r="CZ8">
        <f t="shared" si="3"/>
        <v>0.13492063492063491</v>
      </c>
      <c r="DA8">
        <f t="shared" si="3"/>
        <v>0.13492063492063491</v>
      </c>
      <c r="DD8">
        <f t="shared" si="0"/>
        <v>0.99999999999999989</v>
      </c>
    </row>
    <row r="9" spans="1:112" x14ac:dyDescent="0.35">
      <c r="A9" s="4"/>
      <c r="B9" s="169"/>
      <c r="C9" s="5" t="s">
        <v>67</v>
      </c>
      <c r="D9" s="1">
        <v>0</v>
      </c>
      <c r="E9" s="1">
        <v>0</v>
      </c>
      <c r="F9" s="1">
        <v>0</v>
      </c>
      <c r="G9" s="1">
        <v>0</v>
      </c>
      <c r="H9" s="1">
        <v>0</v>
      </c>
      <c r="I9" s="1">
        <v>0</v>
      </c>
      <c r="J9" s="1">
        <v>0</v>
      </c>
      <c r="K9" s="1">
        <v>0</v>
      </c>
      <c r="L9" s="1">
        <v>0</v>
      </c>
      <c r="M9" s="1">
        <v>0</v>
      </c>
      <c r="N9" s="1">
        <v>0</v>
      </c>
      <c r="O9" s="2" t="s">
        <v>57</v>
      </c>
      <c r="P9" s="1">
        <v>0</v>
      </c>
      <c r="Q9" s="1">
        <v>0</v>
      </c>
      <c r="R9" s="1">
        <v>0</v>
      </c>
      <c r="S9" s="1">
        <v>0</v>
      </c>
      <c r="T9" s="1">
        <v>0</v>
      </c>
      <c r="U9" s="1">
        <v>0</v>
      </c>
      <c r="V9" s="1">
        <v>0</v>
      </c>
      <c r="W9" s="1">
        <v>0</v>
      </c>
      <c r="X9" s="1">
        <v>0</v>
      </c>
      <c r="Y9" s="1">
        <v>0</v>
      </c>
      <c r="Z9" s="2" t="s">
        <v>57</v>
      </c>
      <c r="AA9" s="2" t="s">
        <v>57</v>
      </c>
      <c r="AB9" s="2" t="s">
        <v>57</v>
      </c>
      <c r="AC9" s="2" t="s">
        <v>57</v>
      </c>
      <c r="AD9" s="2" t="s">
        <v>57</v>
      </c>
      <c r="AE9" s="1">
        <v>0</v>
      </c>
      <c r="AF9" s="1">
        <v>0</v>
      </c>
      <c r="AG9" s="1">
        <v>0</v>
      </c>
      <c r="AH9" s="1">
        <v>0</v>
      </c>
      <c r="AI9" s="1">
        <v>0</v>
      </c>
      <c r="AJ9" s="1">
        <v>0</v>
      </c>
      <c r="AK9" s="1">
        <v>0</v>
      </c>
      <c r="AL9" s="1">
        <v>0</v>
      </c>
      <c r="AM9" s="1">
        <v>0</v>
      </c>
      <c r="AN9" s="1">
        <v>0</v>
      </c>
      <c r="AP9" s="5" t="s">
        <v>67</v>
      </c>
      <c r="AS9" s="5" t="s">
        <v>67</v>
      </c>
      <c r="AU9" s="4"/>
      <c r="AV9" s="44"/>
      <c r="AW9" s="5" t="s">
        <v>67</v>
      </c>
      <c r="AX9" s="1">
        <v>0</v>
      </c>
      <c r="AY9" s="1">
        <v>0</v>
      </c>
      <c r="AZ9" s="1">
        <v>0</v>
      </c>
      <c r="BA9" s="1">
        <v>0</v>
      </c>
      <c r="BB9" s="1">
        <v>0</v>
      </c>
      <c r="BC9" s="1">
        <v>0</v>
      </c>
      <c r="BD9" s="1">
        <v>0</v>
      </c>
      <c r="BE9" s="1">
        <v>0</v>
      </c>
      <c r="BF9" s="1">
        <v>0</v>
      </c>
      <c r="BG9" s="1">
        <v>0</v>
      </c>
      <c r="BH9" s="1">
        <v>0</v>
      </c>
      <c r="BI9" s="1">
        <v>0</v>
      </c>
      <c r="CC9" t="s">
        <v>111</v>
      </c>
      <c r="CD9" t="s">
        <v>112</v>
      </c>
      <c r="CQ9" s="25" t="s">
        <v>169</v>
      </c>
      <c r="CR9" s="25">
        <v>5.5</v>
      </c>
      <c r="CS9" s="25">
        <v>4.5</v>
      </c>
      <c r="CT9" s="25">
        <v>4</v>
      </c>
      <c r="CU9" s="25">
        <v>4.5</v>
      </c>
      <c r="CV9" s="25">
        <v>6.5</v>
      </c>
      <c r="CW9" s="25">
        <v>6.5</v>
      </c>
      <c r="CX9" s="25">
        <v>6.5</v>
      </c>
      <c r="CY9" s="25">
        <v>6</v>
      </c>
      <c r="CZ9" s="25">
        <v>7.5</v>
      </c>
      <c r="DA9" s="25">
        <v>7.5</v>
      </c>
      <c r="DB9" s="25"/>
      <c r="DD9">
        <f t="shared" si="0"/>
        <v>59</v>
      </c>
    </row>
    <row r="10" spans="1:112" x14ac:dyDescent="0.35">
      <c r="A10" s="4"/>
      <c r="B10" s="169"/>
      <c r="C10" s="5" t="s">
        <v>69</v>
      </c>
      <c r="D10" s="1">
        <v>0</v>
      </c>
      <c r="E10" s="1">
        <v>0</v>
      </c>
      <c r="F10" s="1">
        <v>0</v>
      </c>
      <c r="G10" s="1">
        <v>0</v>
      </c>
      <c r="H10" s="1">
        <v>1550</v>
      </c>
      <c r="I10" s="1">
        <v>81200</v>
      </c>
      <c r="J10" s="1">
        <v>416050</v>
      </c>
      <c r="K10" s="1">
        <v>114850</v>
      </c>
      <c r="L10" s="1">
        <v>166700</v>
      </c>
      <c r="M10" s="1">
        <v>432500</v>
      </c>
      <c r="N10" s="1">
        <v>397800</v>
      </c>
      <c r="O10" s="1">
        <v>232500</v>
      </c>
      <c r="P10" s="1">
        <v>385900</v>
      </c>
      <c r="Q10" s="1">
        <v>281150</v>
      </c>
      <c r="R10" s="1">
        <v>550100</v>
      </c>
      <c r="S10" s="1">
        <v>469400</v>
      </c>
      <c r="T10" s="1">
        <v>425500</v>
      </c>
      <c r="U10" s="1">
        <v>471380</v>
      </c>
      <c r="V10" s="1">
        <v>423340</v>
      </c>
      <c r="W10" s="1">
        <v>881910</v>
      </c>
      <c r="X10" s="1">
        <v>792960</v>
      </c>
      <c r="Y10" s="1">
        <v>436090</v>
      </c>
      <c r="Z10" s="1">
        <v>76800</v>
      </c>
      <c r="AA10" s="1">
        <v>347000</v>
      </c>
      <c r="AB10" s="1">
        <v>253670</v>
      </c>
      <c r="AC10" s="1">
        <v>52350</v>
      </c>
      <c r="AD10" s="1">
        <v>167290</v>
      </c>
      <c r="AE10" s="1">
        <v>249360</v>
      </c>
      <c r="AF10" s="1">
        <v>104297</v>
      </c>
      <c r="AG10" s="1">
        <v>2161</v>
      </c>
      <c r="AH10" s="1">
        <v>0</v>
      </c>
      <c r="AI10" s="1">
        <v>20219</v>
      </c>
      <c r="AJ10" s="1">
        <v>5324</v>
      </c>
      <c r="AK10" s="1">
        <v>0</v>
      </c>
      <c r="AL10" s="1">
        <v>106893</v>
      </c>
      <c r="AM10" s="1">
        <v>206261</v>
      </c>
      <c r="AN10" s="1">
        <v>133080</v>
      </c>
      <c r="AP10" s="5" t="s">
        <v>69</v>
      </c>
      <c r="AS10" s="5" t="s">
        <v>69</v>
      </c>
      <c r="AU10" s="4"/>
      <c r="AV10" s="44"/>
      <c r="AW10" s="5" t="s">
        <v>69</v>
      </c>
      <c r="AX10" s="1">
        <v>0</v>
      </c>
      <c r="AY10" s="1">
        <v>7842</v>
      </c>
      <c r="AZ10" s="1">
        <v>50924</v>
      </c>
      <c r="BA10" s="1">
        <v>42001</v>
      </c>
      <c r="BB10" s="1">
        <v>22476</v>
      </c>
      <c r="BC10" s="1">
        <v>1782</v>
      </c>
      <c r="BD10" s="1">
        <v>1238</v>
      </c>
      <c r="BE10" s="1">
        <v>0</v>
      </c>
      <c r="BF10" s="1">
        <v>2744</v>
      </c>
      <c r="BG10" s="1">
        <v>12300</v>
      </c>
      <c r="BH10" s="1">
        <v>27604</v>
      </c>
      <c r="BI10" s="1">
        <v>37350</v>
      </c>
      <c r="CC10" t="s">
        <v>114</v>
      </c>
      <c r="CD10" t="s">
        <v>115</v>
      </c>
      <c r="CR10">
        <f t="shared" ref="CR10:DA10" si="4">CR9/$DD$9</f>
        <v>9.3220338983050849E-2</v>
      </c>
      <c r="CS10">
        <f t="shared" si="4"/>
        <v>7.6271186440677971E-2</v>
      </c>
      <c r="CT10">
        <f t="shared" si="4"/>
        <v>6.7796610169491525E-2</v>
      </c>
      <c r="CU10">
        <f t="shared" si="4"/>
        <v>7.6271186440677971E-2</v>
      </c>
      <c r="CV10">
        <f t="shared" si="4"/>
        <v>0.11016949152542373</v>
      </c>
      <c r="CW10">
        <f t="shared" si="4"/>
        <v>0.11016949152542373</v>
      </c>
      <c r="CX10">
        <f t="shared" si="4"/>
        <v>0.11016949152542373</v>
      </c>
      <c r="CY10">
        <f t="shared" si="4"/>
        <v>0.10169491525423729</v>
      </c>
      <c r="CZ10">
        <f t="shared" si="4"/>
        <v>0.1271186440677966</v>
      </c>
      <c r="DA10">
        <f t="shared" si="4"/>
        <v>0.1271186440677966</v>
      </c>
      <c r="DD10">
        <f t="shared" si="0"/>
        <v>1</v>
      </c>
    </row>
    <row r="11" spans="1:112" x14ac:dyDescent="0.35">
      <c r="A11" s="4"/>
      <c r="B11" s="169"/>
      <c r="C11" s="5" t="s">
        <v>72</v>
      </c>
      <c r="D11" s="2" t="s">
        <v>57</v>
      </c>
      <c r="E11" s="2" t="s">
        <v>57</v>
      </c>
      <c r="F11" s="2" t="s">
        <v>57</v>
      </c>
      <c r="G11" s="2" t="s">
        <v>57</v>
      </c>
      <c r="H11" s="2" t="s">
        <v>57</v>
      </c>
      <c r="I11" s="2" t="s">
        <v>57</v>
      </c>
      <c r="J11" s="2" t="s">
        <v>57</v>
      </c>
      <c r="K11" s="2" t="s">
        <v>57</v>
      </c>
      <c r="L11" s="2" t="s">
        <v>57</v>
      </c>
      <c r="M11" s="2" t="s">
        <v>57</v>
      </c>
      <c r="N11" s="2" t="s">
        <v>57</v>
      </c>
      <c r="O11" s="2" t="s">
        <v>57</v>
      </c>
      <c r="P11" s="2" t="s">
        <v>57</v>
      </c>
      <c r="Q11" s="2" t="s">
        <v>57</v>
      </c>
      <c r="R11" s="2" t="s">
        <v>57</v>
      </c>
      <c r="S11" s="2" t="s">
        <v>57</v>
      </c>
      <c r="T11" s="2" t="s">
        <v>57</v>
      </c>
      <c r="U11" s="2" t="s">
        <v>57</v>
      </c>
      <c r="V11" s="2" t="s">
        <v>57</v>
      </c>
      <c r="W11" s="2" t="s">
        <v>57</v>
      </c>
      <c r="X11" s="2" t="s">
        <v>57</v>
      </c>
      <c r="Y11" s="2" t="s">
        <v>57</v>
      </c>
      <c r="Z11" s="2" t="s">
        <v>57</v>
      </c>
      <c r="AA11" s="2" t="s">
        <v>57</v>
      </c>
      <c r="AB11" s="2" t="s">
        <v>57</v>
      </c>
      <c r="AC11" s="2" t="s">
        <v>57</v>
      </c>
      <c r="AD11" s="2" t="s">
        <v>57</v>
      </c>
      <c r="AE11" s="1">
        <v>0</v>
      </c>
      <c r="AF11" s="1">
        <v>0</v>
      </c>
      <c r="AG11" s="1">
        <v>0</v>
      </c>
      <c r="AH11" s="1">
        <v>0</v>
      </c>
      <c r="AI11" s="1">
        <v>0</v>
      </c>
      <c r="AJ11" s="1">
        <v>0</v>
      </c>
      <c r="AK11" s="1">
        <v>0</v>
      </c>
      <c r="AL11" s="1">
        <v>0</v>
      </c>
      <c r="AM11" s="1">
        <v>0</v>
      </c>
      <c r="AN11" s="1">
        <v>0</v>
      </c>
      <c r="AP11" s="5" t="s">
        <v>72</v>
      </c>
      <c r="AS11" s="5" t="s">
        <v>71</v>
      </c>
      <c r="AU11" s="4"/>
      <c r="AV11" s="44"/>
      <c r="AW11" s="5" t="s">
        <v>71</v>
      </c>
      <c r="AX11" s="1">
        <v>0</v>
      </c>
      <c r="AY11" s="1">
        <v>0</v>
      </c>
      <c r="AZ11" s="1">
        <v>0</v>
      </c>
      <c r="BA11" s="1">
        <v>0</v>
      </c>
      <c r="BB11" s="1">
        <v>0</v>
      </c>
      <c r="BC11" s="1">
        <v>0</v>
      </c>
      <c r="BD11" s="1">
        <v>0</v>
      </c>
      <c r="BE11" s="1">
        <v>0</v>
      </c>
      <c r="BF11" s="1">
        <v>0</v>
      </c>
      <c r="BG11" s="1">
        <v>0</v>
      </c>
      <c r="BH11" s="1">
        <v>0</v>
      </c>
      <c r="BI11" s="1">
        <v>0</v>
      </c>
      <c r="CC11" t="s">
        <v>117</v>
      </c>
      <c r="CD11" t="s">
        <v>118</v>
      </c>
      <c r="CQ11" s="25" t="s">
        <v>173</v>
      </c>
      <c r="CR11" s="25">
        <v>5</v>
      </c>
      <c r="CS11" s="25">
        <v>4.5</v>
      </c>
      <c r="CT11" s="25">
        <v>4.5</v>
      </c>
      <c r="CU11" s="25">
        <v>4.5</v>
      </c>
      <c r="CV11" s="25">
        <v>6.5</v>
      </c>
      <c r="CW11" s="25">
        <v>6.5</v>
      </c>
      <c r="CX11" s="25">
        <v>7</v>
      </c>
      <c r="CY11" s="25">
        <v>6</v>
      </c>
      <c r="CZ11" s="25">
        <v>6</v>
      </c>
      <c r="DA11" s="25">
        <v>7.5</v>
      </c>
      <c r="DB11" s="25"/>
      <c r="DD11">
        <f t="shared" si="0"/>
        <v>58</v>
      </c>
    </row>
    <row r="12" spans="1:112" x14ac:dyDescent="0.35">
      <c r="A12" s="4"/>
      <c r="B12" s="169"/>
      <c r="C12" s="5" t="s">
        <v>345</v>
      </c>
      <c r="D12" s="2" t="s">
        <v>57</v>
      </c>
      <c r="E12" s="2" t="s">
        <v>57</v>
      </c>
      <c r="F12" s="2" t="s">
        <v>57</v>
      </c>
      <c r="G12" s="2" t="s">
        <v>57</v>
      </c>
      <c r="H12" s="2" t="s">
        <v>57</v>
      </c>
      <c r="I12" s="2" t="s">
        <v>57</v>
      </c>
      <c r="J12" s="2" t="s">
        <v>57</v>
      </c>
      <c r="K12" s="2" t="s">
        <v>57</v>
      </c>
      <c r="L12" s="2" t="s">
        <v>57</v>
      </c>
      <c r="M12" s="2" t="s">
        <v>57</v>
      </c>
      <c r="N12" s="2" t="s">
        <v>57</v>
      </c>
      <c r="O12" s="2" t="s">
        <v>57</v>
      </c>
      <c r="P12" s="2" t="s">
        <v>57</v>
      </c>
      <c r="Q12" s="2" t="s">
        <v>57</v>
      </c>
      <c r="R12" s="2" t="s">
        <v>57</v>
      </c>
      <c r="S12" s="2" t="s">
        <v>57</v>
      </c>
      <c r="T12" s="2" t="s">
        <v>57</v>
      </c>
      <c r="U12" s="2" t="s">
        <v>57</v>
      </c>
      <c r="V12" s="2" t="s">
        <v>57</v>
      </c>
      <c r="W12" s="2" t="s">
        <v>57</v>
      </c>
      <c r="X12" s="2" t="s">
        <v>57</v>
      </c>
      <c r="Y12" s="2" t="s">
        <v>57</v>
      </c>
      <c r="Z12" s="2" t="s">
        <v>57</v>
      </c>
      <c r="AA12" s="2" t="s">
        <v>57</v>
      </c>
      <c r="AB12" s="2" t="s">
        <v>57</v>
      </c>
      <c r="AC12" s="2" t="s">
        <v>57</v>
      </c>
      <c r="AD12" s="2" t="s">
        <v>57</v>
      </c>
      <c r="AE12" s="1">
        <v>0</v>
      </c>
      <c r="AF12" s="1">
        <v>0</v>
      </c>
      <c r="AG12" s="1">
        <v>0</v>
      </c>
      <c r="AH12" s="1">
        <v>0</v>
      </c>
      <c r="AI12" s="1">
        <v>0</v>
      </c>
      <c r="AJ12" s="1">
        <v>0</v>
      </c>
      <c r="AK12" s="1">
        <v>0</v>
      </c>
      <c r="AL12" s="1">
        <v>0</v>
      </c>
      <c r="AM12" s="1">
        <v>0</v>
      </c>
      <c r="AN12" s="1">
        <v>0</v>
      </c>
      <c r="AP12" s="5" t="s">
        <v>345</v>
      </c>
      <c r="AS12" s="5" t="s">
        <v>73</v>
      </c>
      <c r="AU12" s="4"/>
      <c r="AV12" s="44"/>
      <c r="AW12" s="5" t="s">
        <v>73</v>
      </c>
      <c r="AX12" s="1">
        <v>0</v>
      </c>
      <c r="AY12" s="1">
        <v>0</v>
      </c>
      <c r="AZ12" s="1">
        <v>0</v>
      </c>
      <c r="BA12" s="1">
        <v>0</v>
      </c>
      <c r="BB12" s="1">
        <v>0</v>
      </c>
      <c r="BC12" s="1">
        <v>0</v>
      </c>
      <c r="BD12" s="1">
        <v>0</v>
      </c>
      <c r="BE12" s="1">
        <v>0</v>
      </c>
      <c r="BF12" s="1">
        <v>0</v>
      </c>
      <c r="BG12" s="1">
        <v>0</v>
      </c>
      <c r="BH12" s="1">
        <v>0</v>
      </c>
      <c r="BI12" s="1">
        <v>0</v>
      </c>
      <c r="CC12" t="s">
        <v>120</v>
      </c>
      <c r="CD12" t="s">
        <v>121</v>
      </c>
      <c r="CR12">
        <f t="shared" ref="CR12:DA12" si="5">CR11/$DD$11</f>
        <v>8.6206896551724144E-2</v>
      </c>
      <c r="CS12">
        <f t="shared" si="5"/>
        <v>7.7586206896551727E-2</v>
      </c>
      <c r="CT12">
        <f t="shared" si="5"/>
        <v>7.7586206896551727E-2</v>
      </c>
      <c r="CU12">
        <f t="shared" si="5"/>
        <v>7.7586206896551727E-2</v>
      </c>
      <c r="CV12">
        <f t="shared" si="5"/>
        <v>0.11206896551724138</v>
      </c>
      <c r="CW12">
        <f t="shared" si="5"/>
        <v>0.11206896551724138</v>
      </c>
      <c r="CX12">
        <f t="shared" si="5"/>
        <v>0.1206896551724138</v>
      </c>
      <c r="CY12">
        <f t="shared" si="5"/>
        <v>0.10344827586206896</v>
      </c>
      <c r="CZ12">
        <f t="shared" si="5"/>
        <v>0.10344827586206896</v>
      </c>
      <c r="DA12">
        <f t="shared" si="5"/>
        <v>0.12931034482758622</v>
      </c>
      <c r="DD12">
        <f t="shared" si="0"/>
        <v>1</v>
      </c>
    </row>
    <row r="13" spans="1:112" x14ac:dyDescent="0.35">
      <c r="A13" s="4"/>
      <c r="B13" s="169"/>
      <c r="C13" s="5" t="s">
        <v>76</v>
      </c>
      <c r="D13" s="2" t="s">
        <v>57</v>
      </c>
      <c r="E13" s="2" t="s">
        <v>57</v>
      </c>
      <c r="F13" s="2" t="s">
        <v>57</v>
      </c>
      <c r="G13" s="2" t="s">
        <v>57</v>
      </c>
      <c r="H13" s="2" t="s">
        <v>57</v>
      </c>
      <c r="I13" s="2" t="s">
        <v>57</v>
      </c>
      <c r="J13" s="2" t="s">
        <v>57</v>
      </c>
      <c r="K13" s="2" t="s">
        <v>57</v>
      </c>
      <c r="L13" s="2" t="s">
        <v>57</v>
      </c>
      <c r="M13" s="2" t="s">
        <v>57</v>
      </c>
      <c r="N13" s="2" t="s">
        <v>57</v>
      </c>
      <c r="O13" s="2" t="s">
        <v>57</v>
      </c>
      <c r="P13" s="2" t="s">
        <v>57</v>
      </c>
      <c r="Q13" s="2" t="s">
        <v>57</v>
      </c>
      <c r="R13" s="2" t="s">
        <v>57</v>
      </c>
      <c r="S13" s="2" t="s">
        <v>57</v>
      </c>
      <c r="T13" s="2" t="s">
        <v>57</v>
      </c>
      <c r="U13" s="2" t="s">
        <v>57</v>
      </c>
      <c r="V13" s="2" t="s">
        <v>57</v>
      </c>
      <c r="W13" s="2" t="s">
        <v>57</v>
      </c>
      <c r="X13" s="2" t="s">
        <v>57</v>
      </c>
      <c r="Y13" s="2" t="s">
        <v>57</v>
      </c>
      <c r="Z13" s="2" t="s">
        <v>57</v>
      </c>
      <c r="AA13" s="2" t="s">
        <v>57</v>
      </c>
      <c r="AB13" s="2" t="s">
        <v>57</v>
      </c>
      <c r="AC13" s="2" t="s">
        <v>57</v>
      </c>
      <c r="AD13" s="2" t="s">
        <v>57</v>
      </c>
      <c r="AE13" s="2" t="s">
        <v>57</v>
      </c>
      <c r="AF13" s="2" t="s">
        <v>57</v>
      </c>
      <c r="AG13" s="1">
        <v>0</v>
      </c>
      <c r="AH13" s="1">
        <v>0</v>
      </c>
      <c r="AI13" s="1">
        <v>0</v>
      </c>
      <c r="AJ13" s="1">
        <v>0</v>
      </c>
      <c r="AK13" s="1">
        <v>0</v>
      </c>
      <c r="AL13" s="1">
        <v>0</v>
      </c>
      <c r="AM13" s="1">
        <v>0</v>
      </c>
      <c r="AN13" s="1">
        <v>0</v>
      </c>
      <c r="AP13" s="5" t="s">
        <v>76</v>
      </c>
      <c r="AS13" s="5" t="s">
        <v>75</v>
      </c>
      <c r="AU13" s="4"/>
      <c r="AV13" s="44"/>
      <c r="AW13" s="5" t="s">
        <v>75</v>
      </c>
      <c r="AX13" s="1">
        <v>0</v>
      </c>
      <c r="AY13" s="1">
        <v>0</v>
      </c>
      <c r="AZ13" s="1">
        <v>0</v>
      </c>
      <c r="BA13" s="1">
        <v>0</v>
      </c>
      <c r="BB13" s="1">
        <v>0</v>
      </c>
      <c r="BC13" s="1">
        <v>0</v>
      </c>
      <c r="BD13" s="1">
        <v>0</v>
      </c>
      <c r="BE13" s="1">
        <v>0</v>
      </c>
      <c r="BF13" s="1">
        <v>0</v>
      </c>
      <c r="BG13" s="1">
        <v>0</v>
      </c>
      <c r="BH13" s="1">
        <v>0</v>
      </c>
      <c r="BI13" s="1">
        <v>0</v>
      </c>
      <c r="CC13" t="s">
        <v>123</v>
      </c>
      <c r="CD13" t="s">
        <v>124</v>
      </c>
      <c r="CQ13" s="25" t="s">
        <v>179</v>
      </c>
      <c r="CR13" s="25">
        <v>5</v>
      </c>
      <c r="CS13" s="25">
        <v>4.5</v>
      </c>
      <c r="CT13" s="25">
        <v>4.5</v>
      </c>
      <c r="CU13" s="25">
        <v>4.5</v>
      </c>
      <c r="CV13" s="25">
        <v>6</v>
      </c>
      <c r="CW13" s="25">
        <v>7</v>
      </c>
      <c r="CX13" s="25">
        <v>7</v>
      </c>
      <c r="CY13" s="25">
        <v>6</v>
      </c>
      <c r="CZ13" s="25">
        <v>6</v>
      </c>
      <c r="DA13" s="25">
        <v>7</v>
      </c>
      <c r="DB13" s="25"/>
      <c r="DD13">
        <f t="shared" si="0"/>
        <v>57.5</v>
      </c>
    </row>
    <row r="14" spans="1:112" x14ac:dyDescent="0.35">
      <c r="A14" s="4"/>
      <c r="B14" s="169"/>
      <c r="C14" s="5" t="s">
        <v>78</v>
      </c>
      <c r="D14" s="2" t="s">
        <v>57</v>
      </c>
      <c r="E14" s="2" t="s">
        <v>57</v>
      </c>
      <c r="F14" s="2" t="s">
        <v>57</v>
      </c>
      <c r="G14" s="2" t="s">
        <v>57</v>
      </c>
      <c r="H14" s="2" t="s">
        <v>57</v>
      </c>
      <c r="I14" s="2" t="s">
        <v>57</v>
      </c>
      <c r="J14" s="2" t="s">
        <v>57</v>
      </c>
      <c r="K14" s="2" t="s">
        <v>57</v>
      </c>
      <c r="L14" s="2" t="s">
        <v>57</v>
      </c>
      <c r="M14" s="2" t="s">
        <v>57</v>
      </c>
      <c r="N14" s="2" t="s">
        <v>57</v>
      </c>
      <c r="O14" s="2" t="s">
        <v>57</v>
      </c>
      <c r="P14" s="2" t="s">
        <v>57</v>
      </c>
      <c r="Q14" s="2" t="s">
        <v>57</v>
      </c>
      <c r="R14" s="2" t="s">
        <v>57</v>
      </c>
      <c r="S14" s="2" t="s">
        <v>57</v>
      </c>
      <c r="T14" s="2" t="s">
        <v>57</v>
      </c>
      <c r="U14" s="2" t="s">
        <v>57</v>
      </c>
      <c r="V14" s="2" t="s">
        <v>57</v>
      </c>
      <c r="W14" s="2" t="s">
        <v>57</v>
      </c>
      <c r="X14" s="2" t="s">
        <v>57</v>
      </c>
      <c r="Y14" s="2" t="s">
        <v>57</v>
      </c>
      <c r="Z14" s="2" t="s">
        <v>57</v>
      </c>
      <c r="AA14" s="2" t="s">
        <v>57</v>
      </c>
      <c r="AB14" s="2" t="s">
        <v>57</v>
      </c>
      <c r="AC14" s="2" t="s">
        <v>57</v>
      </c>
      <c r="AD14" s="2" t="s">
        <v>57</v>
      </c>
      <c r="AE14" s="1">
        <v>0</v>
      </c>
      <c r="AF14" s="1">
        <v>0</v>
      </c>
      <c r="AG14" s="1">
        <v>0</v>
      </c>
      <c r="AH14" s="1">
        <v>0</v>
      </c>
      <c r="AI14" s="1">
        <v>0</v>
      </c>
      <c r="AJ14" s="1">
        <v>0</v>
      </c>
      <c r="AK14" s="1">
        <v>0</v>
      </c>
      <c r="AL14" s="1">
        <v>0</v>
      </c>
      <c r="AM14" s="1">
        <v>0</v>
      </c>
      <c r="AN14" s="1">
        <v>0</v>
      </c>
      <c r="AP14" s="5" t="s">
        <v>78</v>
      </c>
      <c r="AS14" s="5" t="s">
        <v>77</v>
      </c>
      <c r="AU14" s="4"/>
      <c r="AV14" s="44"/>
      <c r="AW14" s="5" t="s">
        <v>77</v>
      </c>
      <c r="AX14" s="1">
        <v>0</v>
      </c>
      <c r="AY14" s="1">
        <v>0</v>
      </c>
      <c r="AZ14" s="1">
        <v>0</v>
      </c>
      <c r="BA14" s="1">
        <v>0</v>
      </c>
      <c r="BB14" s="1">
        <v>0</v>
      </c>
      <c r="BC14" s="1">
        <v>0</v>
      </c>
      <c r="BD14" s="1">
        <v>0</v>
      </c>
      <c r="BE14" s="1">
        <v>0</v>
      </c>
      <c r="BF14" s="1">
        <v>0</v>
      </c>
      <c r="BG14" s="1">
        <v>0</v>
      </c>
      <c r="BH14" s="1">
        <v>0</v>
      </c>
      <c r="BI14" s="1">
        <v>0</v>
      </c>
      <c r="CC14" t="s">
        <v>126</v>
      </c>
      <c r="CD14" t="s">
        <v>127</v>
      </c>
      <c r="CR14">
        <f t="shared" ref="CR14:DA14" si="6">CR13/$DD$13</f>
        <v>8.6956521739130432E-2</v>
      </c>
      <c r="CS14">
        <f t="shared" si="6"/>
        <v>7.8260869565217397E-2</v>
      </c>
      <c r="CT14">
        <f t="shared" si="6"/>
        <v>7.8260869565217397E-2</v>
      </c>
      <c r="CU14">
        <f t="shared" si="6"/>
        <v>7.8260869565217397E-2</v>
      </c>
      <c r="CV14">
        <f t="shared" si="6"/>
        <v>0.10434782608695652</v>
      </c>
      <c r="CW14">
        <f t="shared" si="6"/>
        <v>0.12173913043478261</v>
      </c>
      <c r="CX14">
        <f t="shared" si="6"/>
        <v>0.12173913043478261</v>
      </c>
      <c r="CY14">
        <f t="shared" si="6"/>
        <v>0.10434782608695652</v>
      </c>
      <c r="CZ14">
        <f t="shared" si="6"/>
        <v>0.10434782608695652</v>
      </c>
      <c r="DA14">
        <f t="shared" si="6"/>
        <v>0.12173913043478261</v>
      </c>
      <c r="DD14">
        <f t="shared" si="0"/>
        <v>0.99999999999999978</v>
      </c>
    </row>
    <row r="15" spans="1:112" x14ac:dyDescent="0.35">
      <c r="A15" s="4"/>
      <c r="B15" s="169"/>
      <c r="C15" s="5" t="s">
        <v>80</v>
      </c>
      <c r="D15" s="2" t="s">
        <v>57</v>
      </c>
      <c r="E15" s="2" t="s">
        <v>57</v>
      </c>
      <c r="F15" s="2" t="s">
        <v>57</v>
      </c>
      <c r="G15" s="2" t="s">
        <v>57</v>
      </c>
      <c r="H15" s="2" t="s">
        <v>57</v>
      </c>
      <c r="I15" s="2" t="s">
        <v>57</v>
      </c>
      <c r="J15" s="2" t="s">
        <v>57</v>
      </c>
      <c r="K15" s="2" t="s">
        <v>57</v>
      </c>
      <c r="L15" s="2" t="s">
        <v>57</v>
      </c>
      <c r="M15" s="2" t="s">
        <v>57</v>
      </c>
      <c r="N15" s="2" t="s">
        <v>57</v>
      </c>
      <c r="O15" s="2" t="s">
        <v>57</v>
      </c>
      <c r="P15" s="2" t="s">
        <v>57</v>
      </c>
      <c r="Q15" s="2" t="s">
        <v>57</v>
      </c>
      <c r="R15" s="2" t="s">
        <v>57</v>
      </c>
      <c r="S15" s="2" t="s">
        <v>57</v>
      </c>
      <c r="T15" s="2" t="s">
        <v>57</v>
      </c>
      <c r="U15" s="2" t="s">
        <v>57</v>
      </c>
      <c r="V15" s="2" t="s">
        <v>57</v>
      </c>
      <c r="W15" s="2" t="s">
        <v>57</v>
      </c>
      <c r="X15" s="2" t="s">
        <v>57</v>
      </c>
      <c r="Y15" s="2" t="s">
        <v>57</v>
      </c>
      <c r="Z15" s="2" t="s">
        <v>57</v>
      </c>
      <c r="AA15" s="2" t="s">
        <v>57</v>
      </c>
      <c r="AB15" s="2" t="s">
        <v>57</v>
      </c>
      <c r="AC15" s="2" t="s">
        <v>57</v>
      </c>
      <c r="AD15" s="2" t="s">
        <v>57</v>
      </c>
      <c r="AE15" s="1">
        <v>0</v>
      </c>
      <c r="AF15" s="1">
        <v>0</v>
      </c>
      <c r="AG15" s="1">
        <v>0</v>
      </c>
      <c r="AH15" s="1">
        <v>0</v>
      </c>
      <c r="AI15" s="1">
        <v>0</v>
      </c>
      <c r="AJ15" s="1">
        <v>0</v>
      </c>
      <c r="AK15" s="1">
        <v>0</v>
      </c>
      <c r="AL15" s="1">
        <v>692</v>
      </c>
      <c r="AM15" s="1">
        <v>22324</v>
      </c>
      <c r="AN15" s="1">
        <v>53025</v>
      </c>
      <c r="AP15" s="5" t="s">
        <v>80</v>
      </c>
      <c r="AS15" s="5" t="s">
        <v>79</v>
      </c>
      <c r="AU15" s="4"/>
      <c r="AV15" s="44"/>
      <c r="AW15" s="5" t="s">
        <v>79</v>
      </c>
      <c r="AX15" s="1">
        <v>182</v>
      </c>
      <c r="AY15" s="1">
        <v>395</v>
      </c>
      <c r="AZ15" s="1">
        <v>615</v>
      </c>
      <c r="BA15" s="1">
        <v>1317</v>
      </c>
      <c r="BB15" s="1">
        <v>1614</v>
      </c>
      <c r="BC15" s="1">
        <v>1634</v>
      </c>
      <c r="BD15" s="1">
        <v>4003</v>
      </c>
      <c r="BE15" s="1">
        <v>3791</v>
      </c>
      <c r="BF15" s="1">
        <v>2974</v>
      </c>
      <c r="BG15" s="1">
        <v>2657</v>
      </c>
      <c r="BH15" s="1">
        <v>1673</v>
      </c>
      <c r="BI15" s="1">
        <v>1469</v>
      </c>
      <c r="CC15" t="s">
        <v>128</v>
      </c>
      <c r="CD15" t="s">
        <v>129</v>
      </c>
      <c r="CQ15" s="25" t="s">
        <v>180</v>
      </c>
      <c r="CR15" s="25">
        <v>6</v>
      </c>
      <c r="CS15" s="25">
        <v>5</v>
      </c>
      <c r="CT15" s="25">
        <v>4.5</v>
      </c>
      <c r="CU15" s="25">
        <v>4.5</v>
      </c>
      <c r="CV15" s="25">
        <v>7</v>
      </c>
      <c r="CW15" s="25">
        <v>7.5</v>
      </c>
      <c r="CX15" s="25">
        <v>7.5</v>
      </c>
      <c r="CY15" s="25">
        <v>7.5</v>
      </c>
      <c r="CZ15" s="25">
        <v>6.5</v>
      </c>
      <c r="DA15" s="25">
        <v>7</v>
      </c>
      <c r="DB15" s="25"/>
      <c r="DD15">
        <f t="shared" si="0"/>
        <v>63</v>
      </c>
    </row>
    <row r="16" spans="1:112" x14ac:dyDescent="0.35">
      <c r="A16" s="4"/>
      <c r="B16" s="169"/>
      <c r="C16" s="5" t="s">
        <v>82</v>
      </c>
      <c r="D16" s="2" t="s">
        <v>57</v>
      </c>
      <c r="E16" s="2" t="s">
        <v>57</v>
      </c>
      <c r="F16" s="2" t="s">
        <v>57</v>
      </c>
      <c r="G16" s="2" t="s">
        <v>57</v>
      </c>
      <c r="H16" s="2" t="s">
        <v>57</v>
      </c>
      <c r="I16" s="2" t="s">
        <v>57</v>
      </c>
      <c r="J16" s="2" t="s">
        <v>57</v>
      </c>
      <c r="K16" s="2" t="s">
        <v>57</v>
      </c>
      <c r="L16" s="2" t="s">
        <v>57</v>
      </c>
      <c r="M16" s="2" t="s">
        <v>57</v>
      </c>
      <c r="N16" s="2" t="s">
        <v>57</v>
      </c>
      <c r="O16" s="2" t="s">
        <v>57</v>
      </c>
      <c r="P16" s="2" t="s">
        <v>57</v>
      </c>
      <c r="Q16" s="2" t="s">
        <v>57</v>
      </c>
      <c r="R16" s="2" t="s">
        <v>57</v>
      </c>
      <c r="S16" s="2" t="s">
        <v>57</v>
      </c>
      <c r="T16" s="2" t="s">
        <v>57</v>
      </c>
      <c r="U16" s="2" t="s">
        <v>57</v>
      </c>
      <c r="V16" s="2" t="s">
        <v>57</v>
      </c>
      <c r="W16" s="2" t="s">
        <v>57</v>
      </c>
      <c r="X16" s="2" t="s">
        <v>57</v>
      </c>
      <c r="Y16" s="2" t="s">
        <v>57</v>
      </c>
      <c r="Z16" s="2" t="s">
        <v>57</v>
      </c>
      <c r="AA16" s="2" t="s">
        <v>57</v>
      </c>
      <c r="AB16" s="2" t="s">
        <v>57</v>
      </c>
      <c r="AC16" s="2" t="s">
        <v>57</v>
      </c>
      <c r="AD16" s="2" t="s">
        <v>57</v>
      </c>
      <c r="AE16" s="1">
        <v>0</v>
      </c>
      <c r="AF16" s="1">
        <v>0</v>
      </c>
      <c r="AG16" s="1">
        <v>0</v>
      </c>
      <c r="AH16" s="1">
        <v>0</v>
      </c>
      <c r="AI16" s="1">
        <v>0</v>
      </c>
      <c r="AJ16" s="1">
        <v>0</v>
      </c>
      <c r="AK16" s="1">
        <v>0</v>
      </c>
      <c r="AL16" s="1">
        <v>0</v>
      </c>
      <c r="AM16" s="1">
        <v>0</v>
      </c>
      <c r="AN16" s="1">
        <v>0</v>
      </c>
      <c r="AP16" s="5" t="s">
        <v>82</v>
      </c>
      <c r="AS16" s="5" t="s">
        <v>81</v>
      </c>
      <c r="AU16" s="4"/>
      <c r="AV16" s="44"/>
      <c r="AW16" s="5" t="s">
        <v>81</v>
      </c>
      <c r="AX16" s="1">
        <v>0</v>
      </c>
      <c r="AY16" s="1">
        <v>0</v>
      </c>
      <c r="AZ16" s="1">
        <v>0</v>
      </c>
      <c r="BA16" s="1">
        <v>0</v>
      </c>
      <c r="BB16" s="1">
        <v>0</v>
      </c>
      <c r="BC16" s="1">
        <v>0</v>
      </c>
      <c r="BD16" s="1">
        <v>0</v>
      </c>
      <c r="BE16" s="1">
        <v>0</v>
      </c>
      <c r="BF16" s="1">
        <v>0</v>
      </c>
      <c r="BG16" s="1">
        <v>0</v>
      </c>
      <c r="BH16" s="1">
        <v>0</v>
      </c>
      <c r="BI16" s="1">
        <v>0</v>
      </c>
      <c r="CC16" t="s">
        <v>130</v>
      </c>
      <c r="CD16" t="s">
        <v>131</v>
      </c>
      <c r="CR16">
        <f t="shared" ref="CR16:DA16" si="7">CR15/$DD$15</f>
        <v>9.5238095238095233E-2</v>
      </c>
      <c r="CS16">
        <f t="shared" si="7"/>
        <v>7.9365079365079361E-2</v>
      </c>
      <c r="CT16">
        <f t="shared" si="7"/>
        <v>7.1428571428571425E-2</v>
      </c>
      <c r="CU16">
        <f t="shared" si="7"/>
        <v>7.1428571428571425E-2</v>
      </c>
      <c r="CV16">
        <f t="shared" si="7"/>
        <v>0.1111111111111111</v>
      </c>
      <c r="CW16">
        <f t="shared" si="7"/>
        <v>0.11904761904761904</v>
      </c>
      <c r="CX16">
        <f t="shared" si="7"/>
        <v>0.11904761904761904</v>
      </c>
      <c r="CY16">
        <f t="shared" si="7"/>
        <v>0.11904761904761904</v>
      </c>
      <c r="CZ16">
        <f t="shared" si="7"/>
        <v>0.10317460317460317</v>
      </c>
      <c r="DA16">
        <f t="shared" si="7"/>
        <v>0.1111111111111111</v>
      </c>
      <c r="DD16">
        <f t="shared" si="0"/>
        <v>1</v>
      </c>
    </row>
    <row r="17" spans="1:108" x14ac:dyDescent="0.35">
      <c r="A17" s="4"/>
      <c r="B17" s="169"/>
      <c r="C17" s="5" t="s">
        <v>84</v>
      </c>
      <c r="D17" s="2" t="s">
        <v>57</v>
      </c>
      <c r="E17" s="2" t="s">
        <v>57</v>
      </c>
      <c r="F17" s="2" t="s">
        <v>57</v>
      </c>
      <c r="G17" s="2" t="s">
        <v>57</v>
      </c>
      <c r="H17" s="2" t="s">
        <v>57</v>
      </c>
      <c r="I17" s="2" t="s">
        <v>57</v>
      </c>
      <c r="J17" s="2" t="s">
        <v>57</v>
      </c>
      <c r="K17" s="2" t="s">
        <v>57</v>
      </c>
      <c r="L17" s="2" t="s">
        <v>57</v>
      </c>
      <c r="M17" s="2" t="s">
        <v>57</v>
      </c>
      <c r="N17" s="2" t="s">
        <v>57</v>
      </c>
      <c r="O17" s="2" t="s">
        <v>57</v>
      </c>
      <c r="P17" s="2" t="s">
        <v>57</v>
      </c>
      <c r="Q17" s="2" t="s">
        <v>57</v>
      </c>
      <c r="R17" s="2" t="s">
        <v>57</v>
      </c>
      <c r="S17" s="2" t="s">
        <v>57</v>
      </c>
      <c r="T17" s="2" t="s">
        <v>57</v>
      </c>
      <c r="U17" s="2" t="s">
        <v>57</v>
      </c>
      <c r="V17" s="2" t="s">
        <v>57</v>
      </c>
      <c r="W17" s="2" t="s">
        <v>57</v>
      </c>
      <c r="X17" s="2" t="s">
        <v>57</v>
      </c>
      <c r="Y17" s="2" t="s">
        <v>57</v>
      </c>
      <c r="Z17" s="2" t="s">
        <v>57</v>
      </c>
      <c r="AA17" s="2" t="s">
        <v>57</v>
      </c>
      <c r="AB17" s="2" t="s">
        <v>57</v>
      </c>
      <c r="AC17" s="2" t="s">
        <v>57</v>
      </c>
      <c r="AD17" s="2" t="s">
        <v>57</v>
      </c>
      <c r="AE17" s="1">
        <v>0</v>
      </c>
      <c r="AF17" s="1">
        <v>0</v>
      </c>
      <c r="AG17" s="1">
        <v>0</v>
      </c>
      <c r="AH17" s="1">
        <v>0</v>
      </c>
      <c r="AI17" s="1">
        <v>0</v>
      </c>
      <c r="AJ17" s="1">
        <v>0</v>
      </c>
      <c r="AK17" s="1">
        <v>0</v>
      </c>
      <c r="AL17" s="1">
        <v>0</v>
      </c>
      <c r="AM17" s="1">
        <v>0</v>
      </c>
      <c r="AN17" s="1">
        <v>0</v>
      </c>
      <c r="AP17" s="5" t="s">
        <v>84</v>
      </c>
      <c r="AS17" s="5" t="s">
        <v>83</v>
      </c>
      <c r="AU17" s="4"/>
      <c r="AV17" s="44"/>
      <c r="AW17" s="5" t="s">
        <v>83</v>
      </c>
      <c r="AX17" s="1">
        <v>0</v>
      </c>
      <c r="AY17" s="1">
        <v>0</v>
      </c>
      <c r="AZ17" s="1">
        <v>0</v>
      </c>
      <c r="BA17" s="1">
        <v>0</v>
      </c>
      <c r="BB17" s="1">
        <v>0</v>
      </c>
      <c r="BC17" s="1">
        <v>0</v>
      </c>
      <c r="BD17" s="1">
        <v>0</v>
      </c>
      <c r="BE17" s="1">
        <v>0</v>
      </c>
      <c r="BF17" s="1">
        <v>0</v>
      </c>
      <c r="BG17" s="1">
        <v>0</v>
      </c>
      <c r="BH17" s="1">
        <v>0</v>
      </c>
      <c r="BI17" s="1">
        <v>0</v>
      </c>
      <c r="CC17" t="s">
        <v>133</v>
      </c>
      <c r="CD17" t="s">
        <v>134</v>
      </c>
      <c r="CQ17" s="25" t="s">
        <v>183</v>
      </c>
      <c r="CR17" s="25">
        <v>6</v>
      </c>
      <c r="CS17" s="25">
        <v>5.5</v>
      </c>
      <c r="CT17" s="25">
        <v>5</v>
      </c>
      <c r="CU17" s="25">
        <v>5</v>
      </c>
      <c r="CV17" s="25">
        <v>6.5</v>
      </c>
      <c r="CW17" s="25">
        <v>7.5</v>
      </c>
      <c r="CX17" s="25">
        <v>7.5</v>
      </c>
      <c r="CY17" s="25">
        <v>7.5</v>
      </c>
      <c r="CZ17" s="25">
        <v>7</v>
      </c>
      <c r="DA17" s="26">
        <v>7.5</v>
      </c>
      <c r="DB17" s="27"/>
      <c r="DD17">
        <f t="shared" si="0"/>
        <v>65</v>
      </c>
    </row>
    <row r="18" spans="1:108" x14ac:dyDescent="0.35">
      <c r="A18" s="4"/>
      <c r="B18" s="170"/>
      <c r="C18" s="5" t="s">
        <v>86</v>
      </c>
      <c r="D18" s="2" t="s">
        <v>57</v>
      </c>
      <c r="E18" s="2" t="s">
        <v>57</v>
      </c>
      <c r="F18" s="2" t="s">
        <v>57</v>
      </c>
      <c r="G18" s="2" t="s">
        <v>57</v>
      </c>
      <c r="H18" s="2" t="s">
        <v>57</v>
      </c>
      <c r="I18" s="2" t="s">
        <v>57</v>
      </c>
      <c r="J18" s="2" t="s">
        <v>57</v>
      </c>
      <c r="K18" s="2" t="s">
        <v>57</v>
      </c>
      <c r="L18" s="2" t="s">
        <v>57</v>
      </c>
      <c r="M18" s="2" t="s">
        <v>57</v>
      </c>
      <c r="N18" s="2" t="s">
        <v>57</v>
      </c>
      <c r="O18" s="2" t="s">
        <v>57</v>
      </c>
      <c r="P18" s="2" t="s">
        <v>57</v>
      </c>
      <c r="Q18" s="2" t="s">
        <v>57</v>
      </c>
      <c r="R18" s="2" t="s">
        <v>57</v>
      </c>
      <c r="S18" s="2" t="s">
        <v>57</v>
      </c>
      <c r="T18" s="2" t="s">
        <v>57</v>
      </c>
      <c r="U18" s="2" t="s">
        <v>57</v>
      </c>
      <c r="V18" s="1">
        <v>0</v>
      </c>
      <c r="W18" s="1">
        <v>0</v>
      </c>
      <c r="X18" s="1">
        <v>0</v>
      </c>
      <c r="Y18" s="1">
        <v>0</v>
      </c>
      <c r="Z18" s="2" t="s">
        <v>57</v>
      </c>
      <c r="AA18" s="2" t="s">
        <v>57</v>
      </c>
      <c r="AB18" s="2" t="s">
        <v>57</v>
      </c>
      <c r="AC18" s="2" t="s">
        <v>57</v>
      </c>
      <c r="AD18" s="2" t="s">
        <v>57</v>
      </c>
      <c r="AE18" s="1">
        <v>0</v>
      </c>
      <c r="AF18" s="1">
        <v>0</v>
      </c>
      <c r="AG18" s="1">
        <v>0</v>
      </c>
      <c r="AH18" s="1">
        <v>0</v>
      </c>
      <c r="AI18" s="1">
        <v>0</v>
      </c>
      <c r="AJ18" s="1">
        <v>0</v>
      </c>
      <c r="AK18" s="1">
        <v>0</v>
      </c>
      <c r="AL18" s="1">
        <v>0</v>
      </c>
      <c r="AM18" s="1">
        <v>0</v>
      </c>
      <c r="AN18" s="1">
        <v>0</v>
      </c>
      <c r="AP18" s="5" t="s">
        <v>86</v>
      </c>
      <c r="AS18" s="5" t="s">
        <v>85</v>
      </c>
      <c r="AU18" s="4"/>
      <c r="AV18" s="45"/>
      <c r="AW18" s="5" t="s">
        <v>85</v>
      </c>
      <c r="AX18" s="1">
        <v>0</v>
      </c>
      <c r="AY18" s="1">
        <v>0</v>
      </c>
      <c r="AZ18" s="1">
        <v>0</v>
      </c>
      <c r="BA18" s="1">
        <v>0</v>
      </c>
      <c r="BB18" s="1">
        <v>0</v>
      </c>
      <c r="BC18" s="1">
        <v>0</v>
      </c>
      <c r="BD18" s="1">
        <v>0</v>
      </c>
      <c r="BE18" s="1">
        <v>0</v>
      </c>
      <c r="BF18" s="1">
        <v>0</v>
      </c>
      <c r="BG18" s="1">
        <v>0</v>
      </c>
      <c r="BH18" s="1">
        <v>0</v>
      </c>
      <c r="BI18" s="1">
        <v>0</v>
      </c>
      <c r="CR18">
        <f t="shared" ref="CR18:DA18" si="8">CR17/$DD$17</f>
        <v>9.2307692307692313E-2</v>
      </c>
      <c r="CS18">
        <f t="shared" si="8"/>
        <v>8.461538461538462E-2</v>
      </c>
      <c r="CT18">
        <f t="shared" si="8"/>
        <v>7.6923076923076927E-2</v>
      </c>
      <c r="CU18">
        <f t="shared" si="8"/>
        <v>7.6923076923076927E-2</v>
      </c>
      <c r="CV18">
        <f t="shared" si="8"/>
        <v>0.1</v>
      </c>
      <c r="CW18">
        <f t="shared" si="8"/>
        <v>0.11538461538461539</v>
      </c>
      <c r="CX18">
        <f t="shared" si="8"/>
        <v>0.11538461538461539</v>
      </c>
      <c r="CY18">
        <f t="shared" si="8"/>
        <v>0.11538461538461539</v>
      </c>
      <c r="CZ18">
        <f t="shared" si="8"/>
        <v>0.1076923076923077</v>
      </c>
      <c r="DA18">
        <f t="shared" si="8"/>
        <v>0.11538461538461539</v>
      </c>
      <c r="DD18">
        <f t="shared" si="0"/>
        <v>1.0000000000000002</v>
      </c>
    </row>
    <row r="19" spans="1:108" x14ac:dyDescent="0.35">
      <c r="A19" s="6"/>
      <c r="B19" s="158" t="s">
        <v>87</v>
      </c>
      <c r="C19" s="159"/>
      <c r="D19" s="7">
        <v>16138300</v>
      </c>
      <c r="E19" s="7">
        <v>18559200</v>
      </c>
      <c r="F19" s="7">
        <v>21220550</v>
      </c>
      <c r="G19" s="7">
        <v>22862750</v>
      </c>
      <c r="H19" s="7">
        <v>24762390</v>
      </c>
      <c r="I19" s="7">
        <v>25947650</v>
      </c>
      <c r="J19" s="7">
        <v>26651130</v>
      </c>
      <c r="K19" s="7">
        <v>27274380</v>
      </c>
      <c r="L19" s="7">
        <v>28659390</v>
      </c>
      <c r="M19" s="7">
        <v>29781700</v>
      </c>
      <c r="N19" s="7">
        <v>30054310</v>
      </c>
      <c r="O19" s="7">
        <v>32071160</v>
      </c>
      <c r="P19" s="7">
        <v>35630130</v>
      </c>
      <c r="Q19" s="7">
        <v>37898270</v>
      </c>
      <c r="R19" s="7">
        <v>40406930</v>
      </c>
      <c r="S19" s="7">
        <v>43340660</v>
      </c>
      <c r="T19" s="7">
        <v>44432080</v>
      </c>
      <c r="U19" s="7">
        <v>48330920</v>
      </c>
      <c r="V19" s="7">
        <v>50407340</v>
      </c>
      <c r="W19" s="7">
        <v>51761725</v>
      </c>
      <c r="X19" s="7">
        <v>52814865</v>
      </c>
      <c r="Y19" s="7">
        <v>53159170</v>
      </c>
      <c r="Z19" s="7">
        <v>52786665</v>
      </c>
      <c r="AA19" s="7">
        <v>53336995</v>
      </c>
      <c r="AB19" s="7">
        <v>52005850</v>
      </c>
      <c r="AC19" s="7">
        <v>48956825</v>
      </c>
      <c r="AD19" s="7">
        <v>49047083</v>
      </c>
      <c r="AE19" s="7">
        <v>49053232</v>
      </c>
      <c r="AF19" s="7">
        <v>48263265</v>
      </c>
      <c r="AG19" s="7">
        <v>48775943</v>
      </c>
      <c r="AH19" s="7">
        <v>49351435</v>
      </c>
      <c r="AI19" s="7">
        <v>49252190</v>
      </c>
      <c r="AJ19" s="7">
        <v>48620317</v>
      </c>
      <c r="AK19" s="7">
        <v>47826488</v>
      </c>
      <c r="AL19" s="7">
        <v>50848954</v>
      </c>
      <c r="AM19" s="7">
        <v>51307078</v>
      </c>
      <c r="AN19" s="7">
        <v>33065970</v>
      </c>
      <c r="AU19" s="6"/>
      <c r="AV19" s="50" t="s">
        <v>87</v>
      </c>
      <c r="AW19" s="51"/>
      <c r="AX19" s="7">
        <v>4320254</v>
      </c>
      <c r="AY19" s="7">
        <v>3820833</v>
      </c>
      <c r="AZ19" s="7">
        <v>4238982</v>
      </c>
      <c r="BA19" s="7">
        <v>4012724</v>
      </c>
      <c r="BB19" s="7">
        <v>4053026</v>
      </c>
      <c r="BC19" s="7">
        <v>4063501</v>
      </c>
      <c r="BD19" s="7">
        <v>4710235</v>
      </c>
      <c r="BE19" s="7">
        <v>4889276</v>
      </c>
      <c r="BF19" s="7">
        <v>4547816</v>
      </c>
      <c r="BG19" s="7">
        <v>4232039</v>
      </c>
      <c r="BH19" s="7">
        <v>4081413</v>
      </c>
      <c r="BI19" s="7">
        <v>4336979</v>
      </c>
      <c r="CQ19" s="25" t="s">
        <v>187</v>
      </c>
      <c r="CR19" s="25">
        <v>6</v>
      </c>
      <c r="CS19" s="25">
        <v>5.5</v>
      </c>
      <c r="CT19" s="25">
        <v>5</v>
      </c>
      <c r="CU19" s="25">
        <v>5.5</v>
      </c>
      <c r="CV19" s="25">
        <v>6.5</v>
      </c>
      <c r="CW19" s="25">
        <v>7.5</v>
      </c>
      <c r="CX19" s="25">
        <v>7.5</v>
      </c>
      <c r="CY19" s="25">
        <v>7.5</v>
      </c>
      <c r="CZ19" s="25">
        <v>7</v>
      </c>
      <c r="DA19" s="25">
        <v>7.5</v>
      </c>
      <c r="DB19" s="25"/>
      <c r="DD19">
        <f t="shared" si="0"/>
        <v>65.5</v>
      </c>
    </row>
    <row r="20" spans="1:108" x14ac:dyDescent="0.35">
      <c r="A20" s="8"/>
      <c r="B20" s="9"/>
      <c r="C20" s="9"/>
      <c r="D20" s="9"/>
      <c r="E20" s="9"/>
      <c r="F20" s="9"/>
      <c r="AU20" s="8"/>
      <c r="AV20" s="9"/>
      <c r="AX20" s="9"/>
      <c r="AY20" s="9"/>
      <c r="AZ20" s="9"/>
      <c r="CR20">
        <f t="shared" ref="CR20:DA20" si="9">CR19/$DD$19</f>
        <v>9.1603053435114504E-2</v>
      </c>
      <c r="CS20">
        <f t="shared" si="9"/>
        <v>8.3969465648854963E-2</v>
      </c>
      <c r="CT20">
        <f t="shared" si="9"/>
        <v>7.6335877862595422E-2</v>
      </c>
      <c r="CU20">
        <f t="shared" si="9"/>
        <v>8.3969465648854963E-2</v>
      </c>
      <c r="CV20">
        <f t="shared" si="9"/>
        <v>9.9236641221374045E-2</v>
      </c>
      <c r="CW20">
        <f t="shared" si="9"/>
        <v>0.11450381679389313</v>
      </c>
      <c r="CX20">
        <f t="shared" si="9"/>
        <v>0.11450381679389313</v>
      </c>
      <c r="CY20">
        <f t="shared" si="9"/>
        <v>0.11450381679389313</v>
      </c>
      <c r="CZ20">
        <f t="shared" si="9"/>
        <v>0.10687022900763359</v>
      </c>
      <c r="DA20">
        <f t="shared" si="9"/>
        <v>0.11450381679389313</v>
      </c>
      <c r="DD20">
        <f t="shared" si="0"/>
        <v>0.99999999999999989</v>
      </c>
    </row>
    <row r="21" spans="1:108" x14ac:dyDescent="0.35">
      <c r="F21" s="8"/>
      <c r="AW21" s="9" t="s">
        <v>346</v>
      </c>
      <c r="AX21">
        <f>SUM(AX9:AX17,AX4:AX6)</f>
        <v>415244</v>
      </c>
      <c r="AY21">
        <f t="shared" ref="AY21:BI21" si="10">SUM(AY9:AY17,AY4:AY6)</f>
        <v>307648</v>
      </c>
      <c r="AZ21">
        <f t="shared" si="10"/>
        <v>642500</v>
      </c>
      <c r="BA21">
        <f t="shared" si="10"/>
        <v>666103</v>
      </c>
      <c r="BB21">
        <f t="shared" si="10"/>
        <v>527788</v>
      </c>
      <c r="BC21">
        <f t="shared" si="10"/>
        <v>486492</v>
      </c>
      <c r="BD21">
        <f t="shared" si="10"/>
        <v>221869</v>
      </c>
      <c r="BE21">
        <f t="shared" si="10"/>
        <v>173758</v>
      </c>
      <c r="BF21">
        <f t="shared" si="10"/>
        <v>412818</v>
      </c>
      <c r="BG21">
        <f t="shared" si="10"/>
        <v>515675</v>
      </c>
      <c r="BH21">
        <f t="shared" si="10"/>
        <v>502834</v>
      </c>
      <c r="BI21">
        <f t="shared" si="10"/>
        <v>666344</v>
      </c>
      <c r="CQ21" s="25" t="s">
        <v>191</v>
      </c>
      <c r="CR21" s="25">
        <v>5.5</v>
      </c>
      <c r="CS21" s="25">
        <v>5</v>
      </c>
      <c r="CT21" s="25">
        <v>5</v>
      </c>
      <c r="CU21" s="25">
        <v>5</v>
      </c>
      <c r="CV21" s="25">
        <v>6</v>
      </c>
      <c r="CW21" s="25">
        <v>7</v>
      </c>
      <c r="CX21" s="25">
        <v>7</v>
      </c>
      <c r="CY21" s="25">
        <v>6</v>
      </c>
      <c r="CZ21" s="25">
        <v>7.5</v>
      </c>
      <c r="DA21" s="25">
        <v>7</v>
      </c>
      <c r="DB21" s="25"/>
      <c r="DD21">
        <f t="shared" si="0"/>
        <v>61</v>
      </c>
    </row>
    <row r="22" spans="1:108" x14ac:dyDescent="0.35">
      <c r="AW22" t="s">
        <v>347</v>
      </c>
      <c r="AX22">
        <f>AX19-AX21</f>
        <v>3905010</v>
      </c>
      <c r="AY22">
        <f t="shared" ref="AY22:BI22" si="11">AY19-AY21</f>
        <v>3513185</v>
      </c>
      <c r="AZ22">
        <f t="shared" si="11"/>
        <v>3596482</v>
      </c>
      <c r="BA22">
        <f t="shared" si="11"/>
        <v>3346621</v>
      </c>
      <c r="BB22">
        <f t="shared" si="11"/>
        <v>3525238</v>
      </c>
      <c r="BC22">
        <f t="shared" si="11"/>
        <v>3577009</v>
      </c>
      <c r="BD22">
        <f t="shared" si="11"/>
        <v>4488366</v>
      </c>
      <c r="BE22">
        <f t="shared" si="11"/>
        <v>4715518</v>
      </c>
      <c r="BF22">
        <f t="shared" si="11"/>
        <v>4134998</v>
      </c>
      <c r="BG22">
        <f t="shared" si="11"/>
        <v>3716364</v>
      </c>
      <c r="BH22">
        <f t="shared" si="11"/>
        <v>3578579</v>
      </c>
      <c r="BI22">
        <f t="shared" si="11"/>
        <v>3670635</v>
      </c>
      <c r="CR22">
        <f t="shared" ref="CR22:DA22" si="12">CR21/$DD$21</f>
        <v>9.0163934426229511E-2</v>
      </c>
      <c r="CS22">
        <f t="shared" si="12"/>
        <v>8.1967213114754092E-2</v>
      </c>
      <c r="CT22">
        <f t="shared" si="12"/>
        <v>8.1967213114754092E-2</v>
      </c>
      <c r="CU22">
        <f t="shared" si="12"/>
        <v>8.1967213114754092E-2</v>
      </c>
      <c r="CV22">
        <f t="shared" si="12"/>
        <v>9.8360655737704916E-2</v>
      </c>
      <c r="CW22">
        <f t="shared" si="12"/>
        <v>0.11475409836065574</v>
      </c>
      <c r="CX22">
        <f t="shared" si="12"/>
        <v>0.11475409836065574</v>
      </c>
      <c r="CY22">
        <f t="shared" si="12"/>
        <v>9.8360655737704916E-2</v>
      </c>
      <c r="CZ22">
        <f t="shared" si="12"/>
        <v>0.12295081967213115</v>
      </c>
      <c r="DA22">
        <f t="shared" si="12"/>
        <v>0.11475409836065574</v>
      </c>
      <c r="DD22">
        <f t="shared" si="0"/>
        <v>1</v>
      </c>
    </row>
    <row r="23" spans="1:108" ht="14.5" customHeight="1" x14ac:dyDescent="0.35">
      <c r="AM23" s="18" t="s">
        <v>60</v>
      </c>
      <c r="AN23">
        <f>AM6</f>
        <v>5310488</v>
      </c>
      <c r="CQ23" s="25" t="s">
        <v>193</v>
      </c>
      <c r="CR23" s="25">
        <v>5</v>
      </c>
      <c r="CS23" s="25">
        <v>4.5</v>
      </c>
      <c r="CT23" s="25">
        <v>4.5</v>
      </c>
      <c r="CU23" s="25">
        <v>5</v>
      </c>
      <c r="CV23" s="25">
        <v>6</v>
      </c>
      <c r="CW23" s="25">
        <v>6.5</v>
      </c>
      <c r="CX23" s="25">
        <v>6.5</v>
      </c>
      <c r="CY23" s="25">
        <v>6</v>
      </c>
      <c r="CZ23" s="25">
        <v>7.5</v>
      </c>
      <c r="DA23" s="25">
        <v>7.5</v>
      </c>
      <c r="DB23" s="25"/>
      <c r="DD23">
        <f t="shared" si="0"/>
        <v>59</v>
      </c>
    </row>
    <row r="24" spans="1:108" ht="14.5" customHeight="1" x14ac:dyDescent="0.35">
      <c r="AM24" s="18" t="s">
        <v>66</v>
      </c>
      <c r="AN24">
        <f>AM7+AM8</f>
        <v>45768005</v>
      </c>
      <c r="AW24" t="s">
        <v>59</v>
      </c>
      <c r="AX24">
        <f>AX6+AX11+AX16</f>
        <v>415062</v>
      </c>
      <c r="AY24">
        <f t="shared" ref="AY24:BI24" si="13">AY6+AY11+AY16</f>
        <v>299411</v>
      </c>
      <c r="AZ24">
        <f t="shared" si="13"/>
        <v>590961</v>
      </c>
      <c r="BA24">
        <f t="shared" si="13"/>
        <v>622785</v>
      </c>
      <c r="BB24">
        <f t="shared" si="13"/>
        <v>503698</v>
      </c>
      <c r="BC24">
        <f t="shared" si="13"/>
        <v>483076</v>
      </c>
      <c r="BD24">
        <f t="shared" si="13"/>
        <v>216628</v>
      </c>
      <c r="BE24">
        <f t="shared" si="13"/>
        <v>169967</v>
      </c>
      <c r="BF24">
        <f t="shared" si="13"/>
        <v>407100</v>
      </c>
      <c r="BG24">
        <f t="shared" si="13"/>
        <v>500718</v>
      </c>
      <c r="BH24">
        <f t="shared" si="13"/>
        <v>473557</v>
      </c>
      <c r="BI24">
        <f t="shared" si="13"/>
        <v>627525</v>
      </c>
      <c r="CR24">
        <f t="shared" ref="CR24:DA24" si="14">CR23/$DD$23</f>
        <v>8.4745762711864403E-2</v>
      </c>
      <c r="CS24">
        <f t="shared" si="14"/>
        <v>7.6271186440677971E-2</v>
      </c>
      <c r="CT24">
        <f t="shared" si="14"/>
        <v>7.6271186440677971E-2</v>
      </c>
      <c r="CU24">
        <f t="shared" si="14"/>
        <v>8.4745762711864403E-2</v>
      </c>
      <c r="CV24">
        <f t="shared" si="14"/>
        <v>0.10169491525423729</v>
      </c>
      <c r="CW24">
        <f t="shared" si="14"/>
        <v>0.11016949152542373</v>
      </c>
      <c r="CX24">
        <f t="shared" si="14"/>
        <v>0.11016949152542373</v>
      </c>
      <c r="CY24">
        <f t="shared" si="14"/>
        <v>0.10169491525423729</v>
      </c>
      <c r="CZ24">
        <f t="shared" si="14"/>
        <v>0.1271186440677966</v>
      </c>
      <c r="DA24">
        <f t="shared" si="14"/>
        <v>0.1271186440677966</v>
      </c>
      <c r="DD24">
        <f t="shared" si="0"/>
        <v>1</v>
      </c>
    </row>
    <row r="25" spans="1:108" ht="14.5" customHeight="1" x14ac:dyDescent="0.35">
      <c r="AM25" s="18" t="s">
        <v>93</v>
      </c>
      <c r="AN25">
        <f>AM15</f>
        <v>22324</v>
      </c>
      <c r="AO25">
        <f>AN25*10^-3</f>
        <v>22.324000000000002</v>
      </c>
      <c r="CQ25" s="25" t="s">
        <v>195</v>
      </c>
      <c r="CR25" s="25">
        <v>6.5</v>
      </c>
      <c r="CS25" s="25">
        <v>5.5</v>
      </c>
      <c r="CT25" s="25">
        <v>5</v>
      </c>
      <c r="CU25" s="25">
        <v>5.5</v>
      </c>
      <c r="CV25" s="25">
        <v>6.5</v>
      </c>
      <c r="CW25" s="25">
        <v>6.75</v>
      </c>
      <c r="CX25" s="25">
        <v>6.75</v>
      </c>
      <c r="CY25" s="25">
        <v>7</v>
      </c>
      <c r="CZ25" s="25">
        <v>9</v>
      </c>
      <c r="DA25" s="25">
        <v>9</v>
      </c>
      <c r="DB25" s="25"/>
      <c r="DD25">
        <f t="shared" si="0"/>
        <v>67.5</v>
      </c>
    </row>
    <row r="26" spans="1:108" x14ac:dyDescent="0.35">
      <c r="AM26" s="96" t="s">
        <v>70</v>
      </c>
      <c r="AN26">
        <f>AM10</f>
        <v>206261</v>
      </c>
      <c r="AO26">
        <f>AN26*10^-3</f>
        <v>206.261</v>
      </c>
      <c r="CR26">
        <f t="shared" ref="CR26:DA26" si="15">CR25/$DD$25</f>
        <v>9.6296296296296297E-2</v>
      </c>
      <c r="CS26">
        <f t="shared" si="15"/>
        <v>8.1481481481481488E-2</v>
      </c>
      <c r="CT26">
        <f t="shared" si="15"/>
        <v>7.407407407407407E-2</v>
      </c>
      <c r="CU26">
        <f t="shared" si="15"/>
        <v>8.1481481481481488E-2</v>
      </c>
      <c r="CV26">
        <f t="shared" si="15"/>
        <v>9.6296296296296297E-2</v>
      </c>
      <c r="CW26">
        <f t="shared" si="15"/>
        <v>0.1</v>
      </c>
      <c r="CX26">
        <f t="shared" si="15"/>
        <v>0.1</v>
      </c>
      <c r="CY26">
        <f t="shared" si="15"/>
        <v>0.1037037037037037</v>
      </c>
      <c r="CZ26">
        <f t="shared" si="15"/>
        <v>0.13333333333333333</v>
      </c>
      <c r="DA26">
        <f t="shared" si="15"/>
        <v>0.13333333333333333</v>
      </c>
      <c r="DD26">
        <f t="shared" si="0"/>
        <v>1</v>
      </c>
    </row>
    <row r="27" spans="1:108" ht="14.5" customHeight="1" x14ac:dyDescent="0.35"/>
    <row r="28" spans="1:108" ht="14.5" customHeight="1" x14ac:dyDescent="0.35"/>
    <row r="29" spans="1:108" ht="14.5" customHeight="1" x14ac:dyDescent="0.35"/>
    <row r="31" spans="1:108" ht="14.5" customHeight="1" x14ac:dyDescent="0.35"/>
    <row r="32" spans="1:108" ht="14.5" customHeight="1" x14ac:dyDescent="0.35"/>
    <row r="33" spans="1:119" ht="14.5" customHeight="1" x14ac:dyDescent="0.35">
      <c r="AU33" s="172" t="s">
        <v>96</v>
      </c>
      <c r="AV33" s="173"/>
      <c r="AW33" s="164" t="s">
        <v>1</v>
      </c>
      <c r="AX33" s="158"/>
      <c r="AY33" s="158"/>
      <c r="AZ33" s="158"/>
      <c r="BA33" s="158"/>
      <c r="BB33" s="158"/>
      <c r="BC33" s="158"/>
      <c r="BD33" s="158"/>
      <c r="BE33" s="158"/>
      <c r="BF33" s="158"/>
      <c r="BG33" s="158"/>
      <c r="BH33" s="158"/>
      <c r="BI33" s="3"/>
    </row>
    <row r="34" spans="1:119" ht="14.5" customHeight="1" x14ac:dyDescent="0.35">
      <c r="AU34" s="174"/>
      <c r="AV34" s="175"/>
      <c r="AW34" s="8"/>
      <c r="AX34" s="165" t="s">
        <v>39</v>
      </c>
      <c r="AY34" s="166"/>
      <c r="AZ34" s="166"/>
      <c r="BA34" s="166"/>
      <c r="BB34" s="166"/>
      <c r="BC34" s="166"/>
      <c r="BD34" s="166"/>
      <c r="BE34" s="166"/>
      <c r="BF34" s="166"/>
      <c r="BG34" s="166"/>
      <c r="BH34" s="166"/>
      <c r="BI34" s="167"/>
      <c r="BN34" s="29" t="s">
        <v>164</v>
      </c>
      <c r="CH34" s="29" t="s">
        <v>142</v>
      </c>
      <c r="CX34" s="29" t="s">
        <v>167</v>
      </c>
      <c r="DL34" s="29" t="s">
        <v>169</v>
      </c>
    </row>
    <row r="35" spans="1:119" ht="14.5" customHeight="1" thickBot="1" x14ac:dyDescent="0.4">
      <c r="AU35" s="176"/>
      <c r="AV35" s="177"/>
      <c r="AW35" s="8"/>
      <c r="AX35" s="5" t="s">
        <v>41</v>
      </c>
      <c r="AY35" s="5" t="s">
        <v>42</v>
      </c>
      <c r="AZ35" s="5" t="s">
        <v>43</v>
      </c>
      <c r="BA35" s="5" t="s">
        <v>44</v>
      </c>
      <c r="BB35" s="5" t="s">
        <v>45</v>
      </c>
      <c r="BC35" s="5" t="s">
        <v>46</v>
      </c>
      <c r="BD35" s="5" t="s">
        <v>47</v>
      </c>
      <c r="BE35" s="5" t="s">
        <v>48</v>
      </c>
      <c r="BF35" s="5" t="s">
        <v>49</v>
      </c>
      <c r="BG35" s="5" t="s">
        <v>50</v>
      </c>
      <c r="BH35" s="5" t="s">
        <v>51</v>
      </c>
      <c r="BI35" s="5" t="s">
        <v>52</v>
      </c>
    </row>
    <row r="36" spans="1:119" ht="14.5" customHeight="1" thickBot="1" x14ac:dyDescent="0.4">
      <c r="AU36" s="4"/>
      <c r="AV36" s="43" t="s">
        <v>53</v>
      </c>
      <c r="AW36" s="5" t="s">
        <v>107</v>
      </c>
      <c r="AX36" s="1">
        <v>1089814</v>
      </c>
      <c r="AY36" s="1">
        <v>1024216</v>
      </c>
      <c r="AZ36" s="1">
        <v>1094042</v>
      </c>
      <c r="BA36" s="1">
        <v>1122483</v>
      </c>
      <c r="BB36" s="1">
        <v>439170</v>
      </c>
      <c r="BC36" s="1">
        <v>1954992</v>
      </c>
      <c r="BD36" s="1">
        <v>1279083</v>
      </c>
      <c r="BE36" s="1">
        <v>1468692</v>
      </c>
      <c r="BF36" s="1">
        <v>1431921</v>
      </c>
      <c r="BG36" s="1">
        <v>1267338</v>
      </c>
      <c r="BH36" s="1">
        <v>1161034</v>
      </c>
      <c r="BI36" s="1">
        <v>1040444</v>
      </c>
    </row>
    <row r="37" spans="1:119" ht="15" thickBot="1" x14ac:dyDescent="0.4">
      <c r="AU37" s="4"/>
      <c r="AV37" s="44"/>
      <c r="AW37" s="5" t="s">
        <v>110</v>
      </c>
      <c r="AX37" s="1">
        <v>4318</v>
      </c>
      <c r="AY37" s="1">
        <v>5257</v>
      </c>
      <c r="AZ37" s="1">
        <v>3201</v>
      </c>
      <c r="BA37" s="1">
        <v>4760</v>
      </c>
      <c r="BB37" s="1">
        <v>0</v>
      </c>
      <c r="BC37" s="1">
        <v>8276</v>
      </c>
      <c r="BD37" s="1">
        <v>4959</v>
      </c>
      <c r="BE37" s="1">
        <v>3866</v>
      </c>
      <c r="BF37" s="1">
        <v>5232</v>
      </c>
      <c r="BG37" s="1">
        <v>5158</v>
      </c>
      <c r="BH37" s="1">
        <v>4493</v>
      </c>
      <c r="BI37" s="1">
        <v>4779</v>
      </c>
    </row>
    <row r="38" spans="1:119" ht="15" thickBot="1" x14ac:dyDescent="0.4">
      <c r="A38" s="172" t="s">
        <v>132</v>
      </c>
      <c r="B38" s="173"/>
      <c r="C38" s="164" t="s">
        <v>1</v>
      </c>
      <c r="D38" s="158"/>
      <c r="E38" s="158"/>
      <c r="F38" s="158"/>
      <c r="G38" s="158"/>
      <c r="H38" s="158"/>
      <c r="I38" s="158"/>
      <c r="J38" s="158"/>
      <c r="K38" s="158"/>
      <c r="L38" s="158"/>
      <c r="M38" s="158"/>
      <c r="N38" s="158"/>
      <c r="O38" s="158"/>
      <c r="P38" s="158"/>
      <c r="Q38" s="158"/>
      <c r="R38" s="158"/>
      <c r="S38" s="158"/>
      <c r="T38" s="158"/>
      <c r="U38" s="158"/>
      <c r="V38" s="158"/>
      <c r="W38" s="158"/>
      <c r="X38" s="158"/>
      <c r="Y38" s="158"/>
      <c r="Z38" s="158"/>
      <c r="AA38" s="158"/>
      <c r="AB38" s="158"/>
      <c r="AC38" s="158"/>
      <c r="AD38" s="158"/>
      <c r="AE38" s="158"/>
      <c r="AF38" s="158"/>
      <c r="AG38" s="158"/>
      <c r="AH38" s="158"/>
      <c r="AI38" s="158"/>
      <c r="AJ38" s="158"/>
      <c r="AK38" s="158"/>
      <c r="AL38" s="158"/>
      <c r="AM38" s="158"/>
      <c r="AN38" s="3"/>
      <c r="AU38" s="4"/>
      <c r="AV38" s="44"/>
      <c r="AW38" s="5" t="s">
        <v>113</v>
      </c>
      <c r="AX38" s="1">
        <v>1595765</v>
      </c>
      <c r="AY38" s="1">
        <v>1509227</v>
      </c>
      <c r="AZ38" s="1">
        <v>1640257</v>
      </c>
      <c r="BA38" s="1">
        <v>1531083</v>
      </c>
      <c r="BB38" s="1">
        <v>1489269</v>
      </c>
      <c r="BC38" s="1">
        <v>1534592</v>
      </c>
      <c r="BD38" s="1">
        <v>1411952</v>
      </c>
      <c r="BE38" s="1">
        <v>1544339</v>
      </c>
      <c r="BF38" s="1">
        <v>1587103</v>
      </c>
      <c r="BG38" s="1">
        <v>1565459</v>
      </c>
      <c r="BH38" s="1">
        <v>1511153</v>
      </c>
      <c r="BI38" s="1">
        <v>1582769</v>
      </c>
    </row>
    <row r="39" spans="1:119" ht="14.5" customHeight="1" thickBot="1" x14ac:dyDescent="0.4">
      <c r="A39" s="174"/>
      <c r="B39" s="175"/>
      <c r="C39" s="8"/>
      <c r="D39" s="178" t="s">
        <v>4</v>
      </c>
      <c r="E39" s="178" t="s">
        <v>5</v>
      </c>
      <c r="F39" s="178" t="s">
        <v>6</v>
      </c>
      <c r="G39" s="178" t="s">
        <v>7</v>
      </c>
      <c r="H39" s="178" t="s">
        <v>8</v>
      </c>
      <c r="I39" s="178" t="s">
        <v>9</v>
      </c>
      <c r="J39" s="178" t="s">
        <v>10</v>
      </c>
      <c r="K39" s="178" t="s">
        <v>11</v>
      </c>
      <c r="L39" s="178" t="s">
        <v>12</v>
      </c>
      <c r="M39" s="178" t="s">
        <v>13</v>
      </c>
      <c r="N39" s="178" t="s">
        <v>14</v>
      </c>
      <c r="O39" s="178" t="s">
        <v>15</v>
      </c>
      <c r="P39" s="178" t="s">
        <v>16</v>
      </c>
      <c r="Q39" s="178" t="s">
        <v>17</v>
      </c>
      <c r="R39" s="178" t="s">
        <v>18</v>
      </c>
      <c r="S39" s="178" t="s">
        <v>19</v>
      </c>
      <c r="T39" s="178" t="s">
        <v>20</v>
      </c>
      <c r="U39" s="178" t="s">
        <v>21</v>
      </c>
      <c r="V39" s="178" t="s">
        <v>22</v>
      </c>
      <c r="W39" s="178" t="s">
        <v>23</v>
      </c>
      <c r="X39" s="178" t="s">
        <v>24</v>
      </c>
      <c r="Y39" s="178" t="s">
        <v>25</v>
      </c>
      <c r="Z39" s="178" t="s">
        <v>26</v>
      </c>
      <c r="AA39" s="178" t="s">
        <v>27</v>
      </c>
      <c r="AB39" s="178" t="s">
        <v>28</v>
      </c>
      <c r="AC39" s="178" t="s">
        <v>29</v>
      </c>
      <c r="AD39" s="178" t="s">
        <v>30</v>
      </c>
      <c r="AE39" s="178" t="s">
        <v>31</v>
      </c>
      <c r="AF39" s="178" t="s">
        <v>32</v>
      </c>
      <c r="AG39" s="178" t="s">
        <v>33</v>
      </c>
      <c r="AH39" s="178" t="s">
        <v>34</v>
      </c>
      <c r="AI39" s="178" t="s">
        <v>35</v>
      </c>
      <c r="AJ39" s="178" t="s">
        <v>36</v>
      </c>
      <c r="AK39" s="178" t="s">
        <v>37</v>
      </c>
      <c r="AL39" s="178" t="s">
        <v>38</v>
      </c>
      <c r="AM39" s="178" t="s">
        <v>39</v>
      </c>
      <c r="AN39" s="178" t="s">
        <v>40</v>
      </c>
      <c r="AU39" s="4"/>
      <c r="AV39" s="44"/>
      <c r="AW39" s="5" t="s">
        <v>116</v>
      </c>
      <c r="AX39" s="1">
        <v>141948</v>
      </c>
      <c r="AY39" s="1">
        <v>120935</v>
      </c>
      <c r="AZ39" s="1">
        <v>85563</v>
      </c>
      <c r="BA39" s="1">
        <v>137950</v>
      </c>
      <c r="BB39" s="1">
        <v>0</v>
      </c>
      <c r="BC39" s="1">
        <v>91553</v>
      </c>
      <c r="BD39" s="1">
        <v>168246</v>
      </c>
      <c r="BE39" s="1">
        <v>89759</v>
      </c>
      <c r="BF39" s="1">
        <v>96281</v>
      </c>
      <c r="BG39" s="1">
        <v>97141</v>
      </c>
      <c r="BH39" s="1">
        <v>126742</v>
      </c>
      <c r="BI39" s="1">
        <v>124029</v>
      </c>
    </row>
    <row r="40" spans="1:119" ht="15" thickBot="1" x14ac:dyDescent="0.4">
      <c r="A40" s="176"/>
      <c r="B40" s="177"/>
      <c r="C40" s="8"/>
      <c r="D40" s="179"/>
      <c r="E40" s="179"/>
      <c r="F40" s="179"/>
      <c r="G40" s="179"/>
      <c r="H40" s="179"/>
      <c r="I40" s="179"/>
      <c r="J40" s="179"/>
      <c r="K40" s="179"/>
      <c r="L40" s="179"/>
      <c r="M40" s="179"/>
      <c r="N40" s="179"/>
      <c r="O40" s="179"/>
      <c r="P40" s="179"/>
      <c r="Q40" s="179"/>
      <c r="R40" s="179"/>
      <c r="S40" s="179"/>
      <c r="T40" s="179"/>
      <c r="U40" s="179"/>
      <c r="V40" s="179"/>
      <c r="W40" s="179"/>
      <c r="X40" s="179"/>
      <c r="Y40" s="179"/>
      <c r="Z40" s="179"/>
      <c r="AA40" s="179"/>
      <c r="AB40" s="179"/>
      <c r="AC40" s="179"/>
      <c r="AD40" s="179"/>
      <c r="AE40" s="179"/>
      <c r="AF40" s="179"/>
      <c r="AG40" s="179"/>
      <c r="AH40" s="179"/>
      <c r="AI40" s="179"/>
      <c r="AJ40" s="179"/>
      <c r="AK40" s="179"/>
      <c r="AL40" s="179"/>
      <c r="AM40" s="179"/>
      <c r="AN40" s="179"/>
      <c r="AU40" s="4"/>
      <c r="AV40" s="44"/>
      <c r="AW40" s="5" t="s">
        <v>119</v>
      </c>
      <c r="AX40" s="1">
        <v>412354</v>
      </c>
      <c r="AY40" s="1">
        <v>403802</v>
      </c>
      <c r="AZ40" s="1">
        <v>431402</v>
      </c>
      <c r="BA40" s="1">
        <v>420458</v>
      </c>
      <c r="BB40" s="1">
        <v>23914</v>
      </c>
      <c r="BC40" s="1">
        <v>838416</v>
      </c>
      <c r="BD40" s="1">
        <v>471476</v>
      </c>
      <c r="BE40" s="1">
        <v>477824</v>
      </c>
      <c r="BF40" s="1">
        <v>437667</v>
      </c>
      <c r="BG40" s="1">
        <v>418027</v>
      </c>
      <c r="BH40" s="1">
        <v>402713</v>
      </c>
      <c r="BI40" s="1">
        <v>359986</v>
      </c>
    </row>
    <row r="41" spans="1:119" ht="15" thickBot="1" x14ac:dyDescent="0.4">
      <c r="A41" s="4"/>
      <c r="B41" s="168" t="s">
        <v>53</v>
      </c>
      <c r="C41" s="5" t="s">
        <v>135</v>
      </c>
      <c r="D41" s="1">
        <v>0</v>
      </c>
      <c r="E41" s="1">
        <v>0</v>
      </c>
      <c r="F41" s="1">
        <v>0</v>
      </c>
      <c r="G41" s="1">
        <v>0</v>
      </c>
      <c r="H41" s="1">
        <v>4006679</v>
      </c>
      <c r="I41" s="1">
        <v>4469395</v>
      </c>
      <c r="J41" s="1">
        <v>4957253</v>
      </c>
      <c r="K41" s="1">
        <v>5463876</v>
      </c>
      <c r="L41" s="1">
        <v>5704641</v>
      </c>
      <c r="M41" s="1">
        <v>5837717</v>
      </c>
      <c r="N41" s="1">
        <v>5963705</v>
      </c>
      <c r="O41" s="1">
        <v>6842738</v>
      </c>
      <c r="P41" s="1">
        <v>8384432</v>
      </c>
      <c r="Q41" s="1">
        <v>8982583</v>
      </c>
      <c r="R41" s="1">
        <v>10028221</v>
      </c>
      <c r="S41" s="1">
        <v>10803469</v>
      </c>
      <c r="T41" s="1">
        <v>11220255</v>
      </c>
      <c r="U41" s="1">
        <v>12777052</v>
      </c>
      <c r="V41" s="1">
        <v>13153952</v>
      </c>
      <c r="W41" s="1">
        <v>13796798</v>
      </c>
      <c r="X41" s="1">
        <v>14289162</v>
      </c>
      <c r="Y41" s="1">
        <v>14834887</v>
      </c>
      <c r="Z41" s="1">
        <v>14504077</v>
      </c>
      <c r="AA41" s="1">
        <v>14611846</v>
      </c>
      <c r="AB41" s="1">
        <v>14478610</v>
      </c>
      <c r="AC41" s="1">
        <v>13756368</v>
      </c>
      <c r="AD41" s="1">
        <v>13605212</v>
      </c>
      <c r="AE41" s="1">
        <v>13566885</v>
      </c>
      <c r="AF41" s="1">
        <v>13458527</v>
      </c>
      <c r="AG41" s="1">
        <v>13839631</v>
      </c>
      <c r="AH41" s="1">
        <v>14433176</v>
      </c>
      <c r="AI41" s="1">
        <v>14547257</v>
      </c>
      <c r="AJ41" s="1">
        <v>14479518</v>
      </c>
      <c r="AK41" s="1">
        <v>12786152</v>
      </c>
      <c r="AL41" s="1">
        <v>14098729</v>
      </c>
      <c r="AM41" s="1">
        <v>14373229</v>
      </c>
      <c r="AN41" s="1">
        <v>9605294</v>
      </c>
      <c r="AU41" s="4"/>
      <c r="AV41" s="44"/>
      <c r="AW41" s="5" t="s">
        <v>122</v>
      </c>
      <c r="AX41" s="1">
        <v>0</v>
      </c>
      <c r="AY41" s="1">
        <v>537</v>
      </c>
      <c r="AZ41" s="1">
        <v>446</v>
      </c>
      <c r="BA41" s="1">
        <v>429</v>
      </c>
      <c r="BB41" s="1">
        <v>0</v>
      </c>
      <c r="BC41" s="1">
        <v>0</v>
      </c>
      <c r="BD41" s="1">
        <v>0</v>
      </c>
      <c r="BE41" s="1">
        <v>1227</v>
      </c>
      <c r="BF41" s="1">
        <v>0</v>
      </c>
      <c r="BG41" s="1">
        <v>248</v>
      </c>
      <c r="BH41" s="1">
        <v>674</v>
      </c>
      <c r="BI41" s="1">
        <v>210</v>
      </c>
      <c r="BO41" t="s">
        <v>181</v>
      </c>
      <c r="BP41">
        <f>AX43/31</f>
        <v>122016.6129032258</v>
      </c>
      <c r="CJ41" t="s">
        <v>181</v>
      </c>
      <c r="CK41">
        <f>AY43/28</f>
        <v>126585.39285714286</v>
      </c>
      <c r="CZ41" t="s">
        <v>181</v>
      </c>
      <c r="DA41">
        <f>AZ43/31</f>
        <v>123252.93548387097</v>
      </c>
      <c r="DN41" t="s">
        <v>181</v>
      </c>
      <c r="DO41">
        <f>BA43/30</f>
        <v>124795.56666666667</v>
      </c>
    </row>
    <row r="42" spans="1:119" ht="15" thickBot="1" x14ac:dyDescent="0.4">
      <c r="A42" s="4"/>
      <c r="B42" s="169"/>
      <c r="C42" s="5" t="s">
        <v>136</v>
      </c>
      <c r="D42" s="2" t="s">
        <v>57</v>
      </c>
      <c r="E42" s="2" t="s">
        <v>57</v>
      </c>
      <c r="F42" s="2" t="s">
        <v>57</v>
      </c>
      <c r="G42" s="2" t="s">
        <v>57</v>
      </c>
      <c r="H42" s="2" t="s">
        <v>57</v>
      </c>
      <c r="I42" s="2" t="s">
        <v>57</v>
      </c>
      <c r="J42" s="2" t="s">
        <v>57</v>
      </c>
      <c r="K42" s="2" t="s">
        <v>57</v>
      </c>
      <c r="L42" s="2" t="s">
        <v>57</v>
      </c>
      <c r="M42" s="2" t="s">
        <v>57</v>
      </c>
      <c r="N42" s="2" t="s">
        <v>57</v>
      </c>
      <c r="O42" s="2" t="s">
        <v>57</v>
      </c>
      <c r="P42" s="2" t="s">
        <v>57</v>
      </c>
      <c r="Q42" s="2" t="s">
        <v>57</v>
      </c>
      <c r="R42" s="2" t="s">
        <v>57</v>
      </c>
      <c r="S42" s="2" t="s">
        <v>57</v>
      </c>
      <c r="T42" s="2" t="s">
        <v>57</v>
      </c>
      <c r="U42" s="2" t="s">
        <v>57</v>
      </c>
      <c r="V42" s="1">
        <v>34549</v>
      </c>
      <c r="W42" s="1">
        <v>32343</v>
      </c>
      <c r="X42" s="1">
        <v>27022</v>
      </c>
      <c r="Y42" s="1">
        <v>26541</v>
      </c>
      <c r="Z42" s="1">
        <v>25269</v>
      </c>
      <c r="AA42" s="1">
        <v>29423</v>
      </c>
      <c r="AB42" s="1">
        <v>32677</v>
      </c>
      <c r="AC42" s="1">
        <v>30978</v>
      </c>
      <c r="AD42" s="1">
        <v>32151</v>
      </c>
      <c r="AE42" s="1">
        <v>46003</v>
      </c>
      <c r="AF42" s="1">
        <v>34044</v>
      </c>
      <c r="AG42" s="1">
        <v>50863</v>
      </c>
      <c r="AH42" s="1">
        <v>38461</v>
      </c>
      <c r="AI42" s="1">
        <v>38936</v>
      </c>
      <c r="AJ42" s="1">
        <v>154929</v>
      </c>
      <c r="AK42" s="1">
        <v>62184</v>
      </c>
      <c r="AL42" s="1">
        <v>60722</v>
      </c>
      <c r="AM42" s="1">
        <v>54299</v>
      </c>
      <c r="AN42" s="1">
        <v>35893</v>
      </c>
      <c r="AU42" s="4"/>
      <c r="AV42" s="45"/>
      <c r="AW42" s="5" t="s">
        <v>125</v>
      </c>
      <c r="AX42" s="1">
        <v>538316</v>
      </c>
      <c r="AY42" s="1">
        <v>480417</v>
      </c>
      <c r="AZ42" s="1">
        <v>565930</v>
      </c>
      <c r="BA42" s="1">
        <v>526704</v>
      </c>
      <c r="BB42" s="1">
        <v>36246</v>
      </c>
      <c r="BC42" s="1">
        <v>1071370</v>
      </c>
      <c r="BD42" s="1">
        <v>602057</v>
      </c>
      <c r="BE42" s="1">
        <v>685988</v>
      </c>
      <c r="BF42" s="1">
        <v>640881</v>
      </c>
      <c r="BG42" s="1">
        <v>584337</v>
      </c>
      <c r="BH42" s="1">
        <v>526199</v>
      </c>
      <c r="BI42" s="1">
        <v>455789</v>
      </c>
      <c r="BO42" t="s">
        <v>201</v>
      </c>
      <c r="BP42">
        <f>AX6/31</f>
        <v>13389.096774193549</v>
      </c>
      <c r="CJ42" t="s">
        <v>201</v>
      </c>
      <c r="CK42">
        <f>AY6/28</f>
        <v>10693.25</v>
      </c>
      <c r="CZ42" t="s">
        <v>201</v>
      </c>
      <c r="DA42">
        <f>AZ6/31</f>
        <v>19063.258064516129</v>
      </c>
      <c r="DN42" t="s">
        <v>201</v>
      </c>
      <c r="DO42">
        <f>BA6/30</f>
        <v>20759.5</v>
      </c>
    </row>
    <row r="43" spans="1:119" ht="15" thickBot="1" x14ac:dyDescent="0.4">
      <c r="A43" s="4"/>
      <c r="B43" s="169"/>
      <c r="C43" s="5" t="s">
        <v>113</v>
      </c>
      <c r="D43" s="1">
        <v>0</v>
      </c>
      <c r="E43" s="1">
        <v>0</v>
      </c>
      <c r="F43" s="1">
        <v>0</v>
      </c>
      <c r="G43" s="1">
        <v>0</v>
      </c>
      <c r="H43" s="1">
        <v>8211721</v>
      </c>
      <c r="I43" s="1">
        <v>8731995</v>
      </c>
      <c r="J43" s="1">
        <v>9061706</v>
      </c>
      <c r="K43" s="1">
        <v>8911963</v>
      </c>
      <c r="L43" s="1">
        <v>9477419</v>
      </c>
      <c r="M43" s="1">
        <v>9886213</v>
      </c>
      <c r="N43" s="1">
        <v>10391049</v>
      </c>
      <c r="O43" s="1">
        <v>10325258</v>
      </c>
      <c r="P43" s="1">
        <v>10928281</v>
      </c>
      <c r="Q43" s="1">
        <v>11648931</v>
      </c>
      <c r="R43" s="1">
        <v>12794829</v>
      </c>
      <c r="S43" s="1">
        <v>13418636</v>
      </c>
      <c r="T43" s="1">
        <v>14151035</v>
      </c>
      <c r="U43" s="1">
        <v>14969701</v>
      </c>
      <c r="V43" s="1">
        <v>15489754</v>
      </c>
      <c r="W43" s="1">
        <v>16229569</v>
      </c>
      <c r="X43" s="1">
        <v>16505638</v>
      </c>
      <c r="Y43" s="1">
        <v>16795334</v>
      </c>
      <c r="Z43" s="1">
        <v>17164147</v>
      </c>
      <c r="AA43" s="1">
        <v>18211741</v>
      </c>
      <c r="AB43" s="1">
        <v>17859549</v>
      </c>
      <c r="AC43" s="1">
        <v>16672434</v>
      </c>
      <c r="AD43" s="1">
        <v>16639620</v>
      </c>
      <c r="AE43" s="1">
        <v>16373411</v>
      </c>
      <c r="AF43" s="1">
        <v>16090592</v>
      </c>
      <c r="AG43" s="1">
        <v>16267413</v>
      </c>
      <c r="AH43" s="1">
        <v>16147022</v>
      </c>
      <c r="AI43" s="1">
        <v>16180743</v>
      </c>
      <c r="AJ43" s="1">
        <v>16425316</v>
      </c>
      <c r="AK43" s="1">
        <v>17388298</v>
      </c>
      <c r="AL43" s="1">
        <v>18254907</v>
      </c>
      <c r="AM43" s="1">
        <v>18502968</v>
      </c>
      <c r="AN43" s="1">
        <v>12596984</v>
      </c>
      <c r="AU43" s="6"/>
      <c r="AV43" s="50" t="s">
        <v>87</v>
      </c>
      <c r="AW43" s="51"/>
      <c r="AX43" s="7">
        <v>3782515</v>
      </c>
      <c r="AY43" s="7">
        <v>3544391</v>
      </c>
      <c r="AZ43" s="7">
        <v>3820841</v>
      </c>
      <c r="BA43" s="7">
        <v>3743867</v>
      </c>
      <c r="BB43" s="7">
        <v>1988599</v>
      </c>
      <c r="BC43" s="7">
        <v>5499199</v>
      </c>
      <c r="BD43" s="7">
        <v>3937773</v>
      </c>
      <c r="BE43" s="7">
        <v>4271695</v>
      </c>
      <c r="BF43" s="7">
        <v>4199085</v>
      </c>
      <c r="BG43" s="7">
        <v>3937708</v>
      </c>
      <c r="BH43" s="7">
        <v>3733008</v>
      </c>
      <c r="BI43" s="7">
        <v>3568006</v>
      </c>
      <c r="BO43" t="s">
        <v>93</v>
      </c>
      <c r="BP43">
        <f>AX15/31</f>
        <v>5.870967741935484</v>
      </c>
      <c r="CJ43" t="s">
        <v>93</v>
      </c>
      <c r="CK43">
        <f>AY15/28</f>
        <v>14.107142857142858</v>
      </c>
      <c r="CZ43" t="s">
        <v>93</v>
      </c>
      <c r="DA43">
        <f>AZ15/31</f>
        <v>19.838709677419356</v>
      </c>
      <c r="DN43" t="s">
        <v>93</v>
      </c>
      <c r="DO43">
        <f>BA15/30</f>
        <v>43.9</v>
      </c>
    </row>
    <row r="44" spans="1:119" ht="15" thickBot="1" x14ac:dyDescent="0.4">
      <c r="A44" s="4"/>
      <c r="B44" s="169"/>
      <c r="C44" s="5" t="s">
        <v>137</v>
      </c>
      <c r="D44" s="1">
        <v>0</v>
      </c>
      <c r="E44" s="1">
        <v>0</v>
      </c>
      <c r="F44" s="1">
        <v>0</v>
      </c>
      <c r="G44" s="1">
        <v>0</v>
      </c>
      <c r="H44" s="1">
        <v>1018570</v>
      </c>
      <c r="I44" s="1">
        <v>1211806</v>
      </c>
      <c r="J44" s="1">
        <v>1197190</v>
      </c>
      <c r="K44" s="1">
        <v>1146655</v>
      </c>
      <c r="L44" s="1">
        <v>1279117</v>
      </c>
      <c r="M44" s="1">
        <v>1444300</v>
      </c>
      <c r="N44" s="1">
        <v>1505645</v>
      </c>
      <c r="O44" s="1">
        <v>1616198</v>
      </c>
      <c r="P44" s="1">
        <v>1709678</v>
      </c>
      <c r="Q44" s="1">
        <v>1825138</v>
      </c>
      <c r="R44" s="1">
        <v>1867738</v>
      </c>
      <c r="S44" s="1">
        <v>1825202</v>
      </c>
      <c r="T44" s="1">
        <v>1885485</v>
      </c>
      <c r="U44" s="1">
        <v>2064682</v>
      </c>
      <c r="V44" s="1">
        <v>2181235</v>
      </c>
      <c r="W44" s="1">
        <v>2322246</v>
      </c>
      <c r="X44" s="1">
        <v>2323414</v>
      </c>
      <c r="Y44" s="1">
        <v>2364022</v>
      </c>
      <c r="Z44" s="1">
        <v>2451824</v>
      </c>
      <c r="AA44" s="1">
        <v>2563070</v>
      </c>
      <c r="AB44" s="1">
        <v>2479004</v>
      </c>
      <c r="AC44" s="1">
        <v>2198488</v>
      </c>
      <c r="AD44" s="1">
        <v>1916570</v>
      </c>
      <c r="AE44" s="1">
        <v>1955421</v>
      </c>
      <c r="AF44" s="1">
        <v>1962790</v>
      </c>
      <c r="AG44" s="1">
        <v>1949822</v>
      </c>
      <c r="AH44" s="1">
        <v>1894150</v>
      </c>
      <c r="AI44" s="1">
        <v>1885270</v>
      </c>
      <c r="AJ44" s="1">
        <v>1726723</v>
      </c>
      <c r="AK44" s="1">
        <v>1562947</v>
      </c>
      <c r="AL44" s="1">
        <v>1560364</v>
      </c>
      <c r="AM44" s="1">
        <v>1280147</v>
      </c>
      <c r="AN44" s="1">
        <v>622585</v>
      </c>
      <c r="BO44" t="s">
        <v>170</v>
      </c>
      <c r="BP44">
        <v>0</v>
      </c>
      <c r="CJ44" t="s">
        <v>170</v>
      </c>
      <c r="CK44">
        <v>0</v>
      </c>
      <c r="CZ44" t="s">
        <v>170</v>
      </c>
      <c r="DA44">
        <v>0</v>
      </c>
      <c r="DN44" t="s">
        <v>170</v>
      </c>
      <c r="DO44">
        <v>0</v>
      </c>
    </row>
    <row r="45" spans="1:119" ht="15" thickBot="1" x14ac:dyDescent="0.4">
      <c r="A45" s="4"/>
      <c r="B45" s="169"/>
      <c r="C45" s="5" t="s">
        <v>119</v>
      </c>
      <c r="D45" s="1">
        <v>0</v>
      </c>
      <c r="E45" s="1">
        <v>0</v>
      </c>
      <c r="F45" s="1">
        <v>0</v>
      </c>
      <c r="G45" s="1">
        <v>0</v>
      </c>
      <c r="H45" s="1">
        <v>4014649</v>
      </c>
      <c r="I45" s="1">
        <v>4355008</v>
      </c>
      <c r="J45" s="1">
        <v>4081105</v>
      </c>
      <c r="K45" s="1">
        <v>3654348</v>
      </c>
      <c r="L45" s="1">
        <v>3418438</v>
      </c>
      <c r="M45" s="1">
        <v>3547490</v>
      </c>
      <c r="N45" s="1">
        <v>2893249</v>
      </c>
      <c r="O45" s="1">
        <v>3110483</v>
      </c>
      <c r="P45" s="1">
        <v>4468374</v>
      </c>
      <c r="Q45" s="1">
        <v>4696113</v>
      </c>
      <c r="R45" s="1">
        <v>4995240</v>
      </c>
      <c r="S45" s="1">
        <v>5341212</v>
      </c>
      <c r="T45" s="1">
        <v>5495888</v>
      </c>
      <c r="U45" s="1">
        <v>6007083</v>
      </c>
      <c r="V45" s="1">
        <v>6353711</v>
      </c>
      <c r="W45" s="1">
        <v>6719140</v>
      </c>
      <c r="X45" s="1">
        <v>6153669</v>
      </c>
      <c r="Y45" s="1">
        <v>5996287</v>
      </c>
      <c r="Z45" s="1">
        <v>5536954</v>
      </c>
      <c r="AA45" s="1">
        <v>5059487</v>
      </c>
      <c r="AB45" s="1">
        <v>4807220</v>
      </c>
      <c r="AC45" s="1">
        <v>4645138</v>
      </c>
      <c r="AD45" s="1">
        <v>4462572</v>
      </c>
      <c r="AE45" s="1">
        <v>4257208</v>
      </c>
      <c r="AF45" s="1">
        <v>4270594</v>
      </c>
      <c r="AG45" s="1">
        <v>4345871</v>
      </c>
      <c r="AH45" s="1">
        <v>4489046</v>
      </c>
      <c r="AI45" s="1">
        <v>4664000</v>
      </c>
      <c r="AJ45" s="1">
        <v>4499724</v>
      </c>
      <c r="AK45" s="1">
        <v>4902175</v>
      </c>
      <c r="AL45" s="1">
        <v>5185642</v>
      </c>
      <c r="AM45" s="1">
        <v>5098039</v>
      </c>
      <c r="AN45" s="1">
        <v>3374741</v>
      </c>
      <c r="BI45" t="s">
        <v>352</v>
      </c>
      <c r="BJ45">
        <f>SUM(AX43:BI43)*10^-6</f>
        <v>46.026686999999995</v>
      </c>
      <c r="BO45" t="s">
        <v>172</v>
      </c>
      <c r="BP45">
        <f>AX10/31</f>
        <v>0</v>
      </c>
      <c r="CJ45" t="s">
        <v>172</v>
      </c>
      <c r="CK45">
        <f>AY10/28</f>
        <v>280.07142857142856</v>
      </c>
      <c r="CZ45" t="s">
        <v>172</v>
      </c>
      <c r="DA45">
        <f>AZ10/31</f>
        <v>1642.7096774193549</v>
      </c>
      <c r="DN45" t="s">
        <v>172</v>
      </c>
      <c r="DO45">
        <f>BA10/30</f>
        <v>1400.0333333333333</v>
      </c>
    </row>
    <row r="46" spans="1:119" ht="15" thickBot="1" x14ac:dyDescent="0.4">
      <c r="A46" s="4"/>
      <c r="B46" s="169"/>
      <c r="C46" s="5" t="s">
        <v>138</v>
      </c>
      <c r="D46" s="2" t="s">
        <v>57</v>
      </c>
      <c r="E46" s="2" t="s">
        <v>57</v>
      </c>
      <c r="F46" s="2" t="s">
        <v>57</v>
      </c>
      <c r="G46" s="2" t="s">
        <v>57</v>
      </c>
      <c r="H46" s="2" t="s">
        <v>57</v>
      </c>
      <c r="I46" s="2" t="s">
        <v>57</v>
      </c>
      <c r="J46" s="2" t="s">
        <v>57</v>
      </c>
      <c r="K46" s="2" t="s">
        <v>57</v>
      </c>
      <c r="L46" s="2" t="s">
        <v>57</v>
      </c>
      <c r="M46" s="2" t="s">
        <v>57</v>
      </c>
      <c r="N46" s="2" t="s">
        <v>57</v>
      </c>
      <c r="O46" s="2" t="s">
        <v>57</v>
      </c>
      <c r="P46" s="2" t="s">
        <v>57</v>
      </c>
      <c r="Q46" s="2" t="s">
        <v>57</v>
      </c>
      <c r="R46" s="2" t="s">
        <v>57</v>
      </c>
      <c r="S46" s="2" t="s">
        <v>57</v>
      </c>
      <c r="T46" s="2" t="s">
        <v>57</v>
      </c>
      <c r="U46" s="2" t="s">
        <v>57</v>
      </c>
      <c r="V46" s="2" t="s">
        <v>57</v>
      </c>
      <c r="W46" s="2" t="s">
        <v>57</v>
      </c>
      <c r="X46" s="2" t="s">
        <v>57</v>
      </c>
      <c r="Y46" s="2" t="s">
        <v>57</v>
      </c>
      <c r="Z46" s="2" t="s">
        <v>57</v>
      </c>
      <c r="AA46" s="2" t="s">
        <v>57</v>
      </c>
      <c r="AB46" s="2" t="s">
        <v>57</v>
      </c>
      <c r="AC46" s="2" t="s">
        <v>57</v>
      </c>
      <c r="AD46" s="2" t="s">
        <v>57</v>
      </c>
      <c r="AE46" s="2" t="s">
        <v>57</v>
      </c>
      <c r="AF46" s="2" t="s">
        <v>57</v>
      </c>
      <c r="AG46" s="2" t="s">
        <v>57</v>
      </c>
      <c r="AH46" s="2" t="s">
        <v>57</v>
      </c>
      <c r="AI46" s="2" t="s">
        <v>57</v>
      </c>
      <c r="AJ46" s="2" t="s">
        <v>57</v>
      </c>
      <c r="AK46" s="2" t="s">
        <v>57</v>
      </c>
      <c r="AL46" s="1">
        <v>5836</v>
      </c>
      <c r="AM46" s="1">
        <v>3771</v>
      </c>
      <c r="AN46" s="1">
        <v>113</v>
      </c>
    </row>
    <row r="47" spans="1:119" ht="15" customHeight="1" thickBot="1" x14ac:dyDescent="0.4">
      <c r="A47" s="4"/>
      <c r="B47" s="170"/>
      <c r="C47" s="5" t="s">
        <v>139</v>
      </c>
      <c r="D47" s="1">
        <v>0</v>
      </c>
      <c r="E47" s="1">
        <v>0</v>
      </c>
      <c r="F47" s="1">
        <v>0</v>
      </c>
      <c r="G47" s="1">
        <v>0</v>
      </c>
      <c r="H47" s="1">
        <v>3356784</v>
      </c>
      <c r="I47" s="1">
        <v>3080789</v>
      </c>
      <c r="J47" s="1">
        <v>3053278</v>
      </c>
      <c r="K47" s="1">
        <v>2864341</v>
      </c>
      <c r="L47" s="1">
        <v>3479401</v>
      </c>
      <c r="M47" s="1">
        <v>3876783</v>
      </c>
      <c r="N47" s="1">
        <v>3932545</v>
      </c>
      <c r="O47" s="1">
        <v>4122500</v>
      </c>
      <c r="P47" s="1">
        <v>4087596</v>
      </c>
      <c r="Q47" s="1">
        <v>4303233</v>
      </c>
      <c r="R47" s="1">
        <v>4383904</v>
      </c>
      <c r="S47" s="1">
        <v>4839528</v>
      </c>
      <c r="T47" s="1">
        <v>5297600</v>
      </c>
      <c r="U47" s="1">
        <v>5396034</v>
      </c>
      <c r="V47" s="1">
        <v>5777666</v>
      </c>
      <c r="W47" s="1">
        <v>5982675</v>
      </c>
      <c r="X47" s="1">
        <v>6162277</v>
      </c>
      <c r="Y47" s="1">
        <v>6853041</v>
      </c>
      <c r="Z47" s="1">
        <v>7319694</v>
      </c>
      <c r="AA47" s="1">
        <v>7415767</v>
      </c>
      <c r="AB47" s="1">
        <v>7143320</v>
      </c>
      <c r="AC47" s="1">
        <v>6824959</v>
      </c>
      <c r="AD47" s="1">
        <v>7088109</v>
      </c>
      <c r="AE47" s="1">
        <v>7245742</v>
      </c>
      <c r="AF47" s="1">
        <v>7187804</v>
      </c>
      <c r="AG47" s="1">
        <v>6875799</v>
      </c>
      <c r="AH47" s="1">
        <v>6821207</v>
      </c>
      <c r="AI47" s="1">
        <v>6459776</v>
      </c>
      <c r="AJ47" s="1">
        <v>6133341</v>
      </c>
      <c r="AK47" s="1">
        <v>5883305</v>
      </c>
      <c r="AL47" s="1">
        <v>6811020</v>
      </c>
      <c r="AM47" s="1">
        <v>6714234</v>
      </c>
      <c r="AN47" s="1">
        <v>4540627</v>
      </c>
    </row>
    <row r="48" spans="1:119" ht="15" thickBot="1" x14ac:dyDescent="0.4">
      <c r="A48" s="6"/>
      <c r="B48" s="158" t="s">
        <v>87</v>
      </c>
      <c r="C48" s="159"/>
      <c r="D48" s="7">
        <v>0</v>
      </c>
      <c r="E48" s="7">
        <v>0</v>
      </c>
      <c r="F48" s="7">
        <v>0</v>
      </c>
      <c r="G48" s="7">
        <v>0</v>
      </c>
      <c r="H48" s="7">
        <v>20608403</v>
      </c>
      <c r="I48" s="7">
        <v>21848993</v>
      </c>
      <c r="J48" s="7">
        <v>22350532</v>
      </c>
      <c r="K48" s="7">
        <v>22041183</v>
      </c>
      <c r="L48" s="7">
        <v>23359016</v>
      </c>
      <c r="M48" s="7">
        <v>24592503</v>
      </c>
      <c r="N48" s="7">
        <v>24686193</v>
      </c>
      <c r="O48" s="7">
        <v>26017177</v>
      </c>
      <c r="P48" s="7">
        <v>29578361</v>
      </c>
      <c r="Q48" s="7">
        <v>31455998</v>
      </c>
      <c r="R48" s="7">
        <v>34069932</v>
      </c>
      <c r="S48" s="7">
        <v>36228047</v>
      </c>
      <c r="T48" s="7">
        <v>38050263</v>
      </c>
      <c r="U48" s="7">
        <v>41214552</v>
      </c>
      <c r="V48" s="7">
        <v>42990867</v>
      </c>
      <c r="W48" s="7">
        <v>45082771</v>
      </c>
      <c r="X48" s="7">
        <v>45461182</v>
      </c>
      <c r="Y48" s="7">
        <v>46870112</v>
      </c>
      <c r="Z48" s="7">
        <v>47001965</v>
      </c>
      <c r="AA48" s="7">
        <v>47891334</v>
      </c>
      <c r="AB48" s="7">
        <v>46800381</v>
      </c>
      <c r="AC48" s="7">
        <v>44128365</v>
      </c>
      <c r="AD48" s="7">
        <v>43744234</v>
      </c>
      <c r="AE48" s="7">
        <v>43444670</v>
      </c>
      <c r="AF48" s="7">
        <v>43004351</v>
      </c>
      <c r="AG48" s="7">
        <v>43329400</v>
      </c>
      <c r="AH48" s="7">
        <v>43823062</v>
      </c>
      <c r="AI48" s="7">
        <v>43775982</v>
      </c>
      <c r="AJ48" s="7">
        <v>43419551</v>
      </c>
      <c r="AK48" s="7">
        <v>42585061</v>
      </c>
      <c r="AL48" s="7">
        <v>45977220</v>
      </c>
      <c r="AM48" s="7">
        <v>46026687</v>
      </c>
      <c r="AN48" s="7">
        <v>30776237</v>
      </c>
    </row>
    <row r="49" spans="1:127" ht="14.5" customHeight="1" x14ac:dyDescent="0.35">
      <c r="A49" s="8"/>
      <c r="B49" s="9"/>
      <c r="C49" s="9"/>
      <c r="D49" s="9"/>
      <c r="E49" s="9"/>
      <c r="F49" s="9"/>
    </row>
    <row r="50" spans="1:127" x14ac:dyDescent="0.35">
      <c r="F50" s="8"/>
      <c r="BO50" s="33"/>
      <c r="BP50" t="s">
        <v>154</v>
      </c>
      <c r="BQ50" t="s">
        <v>155</v>
      </c>
      <c r="BR50" t="s">
        <v>156</v>
      </c>
      <c r="BS50" t="s">
        <v>157</v>
      </c>
      <c r="BT50" t="s">
        <v>158</v>
      </c>
      <c r="BU50" t="s">
        <v>159</v>
      </c>
      <c r="BV50" t="s">
        <v>160</v>
      </c>
      <c r="BW50" t="s">
        <v>161</v>
      </c>
      <c r="BX50" t="s">
        <v>162</v>
      </c>
      <c r="BY50" t="s">
        <v>163</v>
      </c>
      <c r="CI50" s="33"/>
      <c r="CJ50" t="s">
        <v>154</v>
      </c>
      <c r="CK50" t="s">
        <v>155</v>
      </c>
      <c r="CL50" t="s">
        <v>156</v>
      </c>
      <c r="CM50" t="s">
        <v>157</v>
      </c>
      <c r="CN50" t="s">
        <v>158</v>
      </c>
      <c r="CO50" t="s">
        <v>159</v>
      </c>
      <c r="CP50" t="s">
        <v>160</v>
      </c>
      <c r="CQ50" t="s">
        <v>161</v>
      </c>
      <c r="CR50" t="s">
        <v>162</v>
      </c>
      <c r="CS50" t="s">
        <v>163</v>
      </c>
      <c r="CY50" s="33"/>
      <c r="CZ50" t="s">
        <v>154</v>
      </c>
      <c r="DA50" t="s">
        <v>155</v>
      </c>
      <c r="DB50" t="s">
        <v>156</v>
      </c>
      <c r="DC50" t="s">
        <v>157</v>
      </c>
      <c r="DD50" t="s">
        <v>158</v>
      </c>
      <c r="DE50" t="s">
        <v>159</v>
      </c>
      <c r="DF50" t="s">
        <v>160</v>
      </c>
      <c r="DG50" t="s">
        <v>161</v>
      </c>
      <c r="DH50" t="s">
        <v>162</v>
      </c>
      <c r="DI50" t="s">
        <v>163</v>
      </c>
      <c r="DM50" s="33"/>
      <c r="DN50" t="s">
        <v>154</v>
      </c>
      <c r="DO50" t="s">
        <v>155</v>
      </c>
      <c r="DP50" t="s">
        <v>156</v>
      </c>
      <c r="DQ50" t="s">
        <v>157</v>
      </c>
      <c r="DR50" t="s">
        <v>158</v>
      </c>
      <c r="DS50" t="s">
        <v>159</v>
      </c>
      <c r="DT50" t="s">
        <v>160</v>
      </c>
      <c r="DU50" t="s">
        <v>161</v>
      </c>
      <c r="DV50" t="s">
        <v>162</v>
      </c>
      <c r="DW50" t="s">
        <v>163</v>
      </c>
    </row>
    <row r="51" spans="1:127" x14ac:dyDescent="0.35">
      <c r="AB51" s="116">
        <v>2000</v>
      </c>
      <c r="AC51" s="117">
        <f>Q48</f>
        <v>31455998</v>
      </c>
      <c r="AL51" s="118" t="s">
        <v>41</v>
      </c>
      <c r="AM51" s="116">
        <f>AQ37</f>
        <v>0</v>
      </c>
      <c r="BO51" s="33" t="s">
        <v>181</v>
      </c>
      <c r="BP51">
        <v>8.6330935251798566E-2</v>
      </c>
      <c r="BQ51">
        <v>7.1942446043165464E-2</v>
      </c>
      <c r="BR51">
        <v>7.1942446043165464E-2</v>
      </c>
      <c r="BS51">
        <v>7.9136690647482008E-2</v>
      </c>
      <c r="BT51">
        <v>0.10071942446043165</v>
      </c>
      <c r="BU51">
        <v>0.1079136690647482</v>
      </c>
      <c r="BV51">
        <v>0.1079136690647482</v>
      </c>
      <c r="BW51">
        <v>0.11510791366906475</v>
      </c>
      <c r="BX51">
        <v>0.12949640287769784</v>
      </c>
      <c r="BY51">
        <v>0.12949640287769784</v>
      </c>
      <c r="CI51" s="33" t="s">
        <v>181</v>
      </c>
      <c r="CJ51">
        <v>8.9552238805970144E-2</v>
      </c>
      <c r="CK51">
        <v>7.4626865671641784E-2</v>
      </c>
      <c r="CL51">
        <v>7.4626865671641784E-2</v>
      </c>
      <c r="CM51">
        <v>8.2089552238805971E-2</v>
      </c>
      <c r="CN51">
        <v>9.7014925373134331E-2</v>
      </c>
      <c r="CO51">
        <v>0.1044776119402985</v>
      </c>
      <c r="CP51">
        <v>0.1044776119402985</v>
      </c>
      <c r="CQ51">
        <v>0.1044776119402985</v>
      </c>
      <c r="CR51">
        <v>0.13432835820895522</v>
      </c>
      <c r="CS51">
        <v>0.13432835820895522</v>
      </c>
      <c r="CY51" s="33" t="s">
        <v>181</v>
      </c>
      <c r="CZ51">
        <v>8.7301587301587297E-2</v>
      </c>
      <c r="DA51">
        <v>7.1428571428571425E-2</v>
      </c>
      <c r="DB51">
        <v>7.1428571428571425E-2</v>
      </c>
      <c r="DC51">
        <v>7.1428571428571425E-2</v>
      </c>
      <c r="DD51">
        <v>0.10317460317460317</v>
      </c>
      <c r="DE51">
        <v>0.1111111111111111</v>
      </c>
      <c r="DF51">
        <v>0.1111111111111111</v>
      </c>
      <c r="DG51">
        <v>0.10317460317460317</v>
      </c>
      <c r="DH51">
        <v>0.13492063492063491</v>
      </c>
      <c r="DI51">
        <v>0.13492063492063491</v>
      </c>
      <c r="DM51" s="33" t="s">
        <v>181</v>
      </c>
      <c r="DN51">
        <v>9.3220338983050849E-2</v>
      </c>
      <c r="DO51">
        <v>7.6271186440677971E-2</v>
      </c>
      <c r="DP51">
        <v>6.7796610169491525E-2</v>
      </c>
      <c r="DQ51">
        <v>7.6271186440677971E-2</v>
      </c>
      <c r="DR51">
        <v>0.11016949152542373</v>
      </c>
      <c r="DS51">
        <v>0.11016949152542373</v>
      </c>
      <c r="DT51">
        <v>0.11016949152542373</v>
      </c>
      <c r="DU51">
        <v>0.10169491525423729</v>
      </c>
      <c r="DV51">
        <v>0.1271186440677966</v>
      </c>
      <c r="DW51">
        <v>0.1271186440677966</v>
      </c>
    </row>
    <row r="52" spans="1:127" x14ac:dyDescent="0.35">
      <c r="AB52" s="116">
        <f>AB51+1</f>
        <v>2001</v>
      </c>
      <c r="AC52" s="117">
        <f>R48</f>
        <v>34069932</v>
      </c>
      <c r="AL52" s="118" t="s">
        <v>42</v>
      </c>
      <c r="AM52" s="116">
        <f>AR37</f>
        <v>0</v>
      </c>
      <c r="BO52" s="33" t="s">
        <v>181</v>
      </c>
      <c r="BP52">
        <f>$BP$41*BP51</f>
        <v>10533.808308192156</v>
      </c>
      <c r="BQ52">
        <f t="shared" ref="BQ52:BY52" si="16">$BP$41*BQ51</f>
        <v>8778.1735901601296</v>
      </c>
      <c r="BR52">
        <f t="shared" si="16"/>
        <v>8778.1735901601296</v>
      </c>
      <c r="BS52">
        <f t="shared" si="16"/>
        <v>9655.9909491761427</v>
      </c>
      <c r="BT52">
        <f t="shared" si="16"/>
        <v>12289.443026224182</v>
      </c>
      <c r="BU52">
        <f t="shared" si="16"/>
        <v>13167.260385240194</v>
      </c>
      <c r="BV52">
        <f t="shared" si="16"/>
        <v>13167.260385240194</v>
      </c>
      <c r="BW52">
        <f t="shared" si="16"/>
        <v>14045.077744256208</v>
      </c>
      <c r="BX52">
        <f t="shared" si="16"/>
        <v>15800.712462288233</v>
      </c>
      <c r="BY52">
        <f t="shared" si="16"/>
        <v>15800.712462288233</v>
      </c>
      <c r="CI52" s="33" t="s">
        <v>181</v>
      </c>
      <c r="CJ52">
        <f>$CK$41*CJ51</f>
        <v>11336.005330490405</v>
      </c>
      <c r="CK52">
        <f t="shared" ref="CK52:CS52" si="17">$CK$41*CK51</f>
        <v>9446.6711087420026</v>
      </c>
      <c r="CL52">
        <f t="shared" si="17"/>
        <v>9446.6711087420026</v>
      </c>
      <c r="CM52">
        <f t="shared" si="17"/>
        <v>10391.338219616204</v>
      </c>
      <c r="CN52">
        <f t="shared" si="17"/>
        <v>12280.672441364606</v>
      </c>
      <c r="CO52">
        <f t="shared" si="17"/>
        <v>13225.339552238805</v>
      </c>
      <c r="CP52">
        <f t="shared" si="17"/>
        <v>13225.339552238805</v>
      </c>
      <c r="CQ52">
        <f t="shared" si="17"/>
        <v>13225.339552238805</v>
      </c>
      <c r="CR52">
        <f t="shared" si="17"/>
        <v>17004.007995735607</v>
      </c>
      <c r="CS52">
        <f t="shared" si="17"/>
        <v>17004.007995735607</v>
      </c>
      <c r="CY52" s="33" t="s">
        <v>181</v>
      </c>
      <c r="CZ52">
        <f>$DA$41*CZ51</f>
        <v>10760.176907322068</v>
      </c>
      <c r="DA52">
        <f t="shared" ref="DA52:DI52" si="18">$DA$41*DA51</f>
        <v>8803.7811059907835</v>
      </c>
      <c r="DB52">
        <f t="shared" si="18"/>
        <v>8803.7811059907835</v>
      </c>
      <c r="DC52">
        <f t="shared" si="18"/>
        <v>8803.7811059907835</v>
      </c>
      <c r="DD52">
        <f t="shared" si="18"/>
        <v>12716.572708653353</v>
      </c>
      <c r="DE52">
        <f t="shared" si="18"/>
        <v>13694.770609318995</v>
      </c>
      <c r="DF52">
        <f t="shared" si="18"/>
        <v>13694.770609318995</v>
      </c>
      <c r="DG52">
        <f t="shared" si="18"/>
        <v>12716.572708653353</v>
      </c>
      <c r="DH52">
        <f t="shared" si="18"/>
        <v>16629.364311315923</v>
      </c>
      <c r="DI52">
        <f t="shared" si="18"/>
        <v>16629.364311315923</v>
      </c>
      <c r="DM52" s="33" t="s">
        <v>181</v>
      </c>
      <c r="DN52">
        <f>$DO$41*DN51</f>
        <v>11633.485028248588</v>
      </c>
      <c r="DO52">
        <f t="shared" ref="DO52:DW52" si="19">$DO$41*DO51</f>
        <v>9518.3059322033896</v>
      </c>
      <c r="DP52">
        <f t="shared" si="19"/>
        <v>8460.7163841807906</v>
      </c>
      <c r="DQ52">
        <f t="shared" si="19"/>
        <v>9518.3059322033896</v>
      </c>
      <c r="DR52">
        <f t="shared" si="19"/>
        <v>13748.664124293786</v>
      </c>
      <c r="DS52">
        <f t="shared" si="19"/>
        <v>13748.664124293786</v>
      </c>
      <c r="DT52">
        <f t="shared" si="19"/>
        <v>13748.664124293786</v>
      </c>
      <c r="DU52">
        <f t="shared" si="19"/>
        <v>12691.074576271187</v>
      </c>
      <c r="DV52">
        <f t="shared" si="19"/>
        <v>15863.843220338982</v>
      </c>
      <c r="DW52">
        <f t="shared" si="19"/>
        <v>15863.843220338982</v>
      </c>
    </row>
    <row r="53" spans="1:127" x14ac:dyDescent="0.35">
      <c r="AB53" s="116">
        <f t="shared" ref="AB53:AB73" si="20">AB52+1</f>
        <v>2002</v>
      </c>
      <c r="AC53" s="117">
        <f>S48</f>
        <v>36228047</v>
      </c>
      <c r="AL53" s="118" t="s">
        <v>43</v>
      </c>
      <c r="AM53" s="116">
        <f>AS37</f>
        <v>0</v>
      </c>
      <c r="BO53" s="33" t="s">
        <v>184</v>
      </c>
      <c r="BP53">
        <v>7.77996519581656E-2</v>
      </c>
      <c r="BQ53">
        <v>8.0663430374034478E-2</v>
      </c>
      <c r="BR53">
        <v>0.1213388378099805</v>
      </c>
      <c r="BS53">
        <v>8.2345225392010557E-2</v>
      </c>
      <c r="BT53">
        <v>0.13605266673945482</v>
      </c>
      <c r="BU53">
        <v>9.4074939385816791E-2</v>
      </c>
      <c r="BV53">
        <v>8.723422603708364E-2</v>
      </c>
      <c r="BW53">
        <v>0.12083699408202866</v>
      </c>
      <c r="BX53">
        <v>8.0203289136851125E-2</v>
      </c>
      <c r="BY53">
        <v>0.11945073908457382</v>
      </c>
      <c r="CI53" s="33" t="s">
        <v>184</v>
      </c>
      <c r="CJ53">
        <v>8.7991471560549483E-2</v>
      </c>
      <c r="CK53">
        <v>8.2936664223333775E-2</v>
      </c>
      <c r="CL53">
        <v>0.12556344774896119</v>
      </c>
      <c r="CM53">
        <v>7.5003362214297362E-2</v>
      </c>
      <c r="CN53">
        <v>0.12100171500089188</v>
      </c>
      <c r="CO53">
        <v>8.355937390701651E-2</v>
      </c>
      <c r="CP53">
        <v>8.4691638822408086E-2</v>
      </c>
      <c r="CQ53">
        <v>0.12106321718772056</v>
      </c>
      <c r="CR53">
        <v>8.4670257211264519E-2</v>
      </c>
      <c r="CS53">
        <v>0.13351885212355652</v>
      </c>
      <c r="CY53" s="33" t="s">
        <v>184</v>
      </c>
      <c r="CZ53">
        <v>7.4635007121912983E-2</v>
      </c>
      <c r="DA53">
        <v>7.4726141195189014E-2</v>
      </c>
      <c r="DB53">
        <v>0.11594060561774464</v>
      </c>
      <c r="DC53">
        <v>8.4867491904546288E-2</v>
      </c>
      <c r="DD53">
        <v>0.13465784877666592</v>
      </c>
      <c r="DE53">
        <v>9.0738434291181641E-2</v>
      </c>
      <c r="DF53">
        <v>9.195755781200024E-2</v>
      </c>
      <c r="DG53">
        <v>0.1327340478526044</v>
      </c>
      <c r="DH53">
        <v>8.5315578251943774E-2</v>
      </c>
      <c r="DI53">
        <v>0.11442728717621092</v>
      </c>
      <c r="DM53" s="33" t="s">
        <v>184</v>
      </c>
      <c r="DN53">
        <v>8.1505430715834798E-2</v>
      </c>
      <c r="DO53">
        <v>8.4394266118200723E-2</v>
      </c>
      <c r="DP53">
        <v>0.12392545093899666</v>
      </c>
      <c r="DQ53">
        <v>8.221889490579247E-2</v>
      </c>
      <c r="DR53">
        <v>0.13111109032277057</v>
      </c>
      <c r="DS53">
        <v>8.8070152264408758E-2</v>
      </c>
      <c r="DT53">
        <v>8.6562128498579943E-2</v>
      </c>
      <c r="DU53">
        <v>0.12425615241627488</v>
      </c>
      <c r="DV53">
        <v>8.1960153068792396E-2</v>
      </c>
      <c r="DW53">
        <v>0.11599628075034883</v>
      </c>
    </row>
    <row r="54" spans="1:127" x14ac:dyDescent="0.35">
      <c r="AB54" s="116">
        <f t="shared" si="20"/>
        <v>2003</v>
      </c>
      <c r="AC54" s="117">
        <f>T48</f>
        <v>38050263</v>
      </c>
      <c r="AL54" s="118" t="s">
        <v>44</v>
      </c>
      <c r="AM54" s="116">
        <f>AT37</f>
        <v>0</v>
      </c>
      <c r="BO54" s="33" t="s">
        <v>185</v>
      </c>
      <c r="BP54">
        <f>$BP$42*BP53</f>
        <v>1041.667069066456</v>
      </c>
      <c r="BQ54">
        <f t="shared" ref="BQ54:BY54" si="21">$BP$42*BQ53</f>
        <v>1080.010475416371</v>
      </c>
      <c r="BR54">
        <f t="shared" si="21"/>
        <v>1624.6174419060042</v>
      </c>
      <c r="BS54">
        <f t="shared" si="21"/>
        <v>1102.5281916664094</v>
      </c>
      <c r="BT54">
        <f t="shared" si="21"/>
        <v>1821.6223213616645</v>
      </c>
      <c r="BU54">
        <f t="shared" si="21"/>
        <v>1259.5784674630934</v>
      </c>
      <c r="BV54">
        <f t="shared" si="21"/>
        <v>1167.9874944323874</v>
      </c>
      <c r="BW54">
        <f t="shared" si="21"/>
        <v>1617.8982076669349</v>
      </c>
      <c r="BX54">
        <f t="shared" si="21"/>
        <v>1073.849599861926</v>
      </c>
      <c r="BY54">
        <f t="shared" si="21"/>
        <v>1599.3375053523027</v>
      </c>
      <c r="CI54" s="33" t="s">
        <v>185</v>
      </c>
      <c r="CJ54">
        <f>$CK$42*CJ53</f>
        <v>940.91480326484577</v>
      </c>
      <c r="CK54">
        <f t="shared" ref="CK54:CS54" si="22">$CK$42*CK53</f>
        <v>886.86248470616385</v>
      </c>
      <c r="CL54">
        <f t="shared" si="22"/>
        <v>1342.6813376415794</v>
      </c>
      <c r="CM54">
        <f t="shared" si="22"/>
        <v>802.0297029980353</v>
      </c>
      <c r="CN54">
        <f t="shared" si="22"/>
        <v>1293.901588933287</v>
      </c>
      <c r="CO54">
        <f t="shared" si="22"/>
        <v>893.52127503120425</v>
      </c>
      <c r="CP54">
        <f t="shared" si="22"/>
        <v>905.62886683771524</v>
      </c>
      <c r="CQ54">
        <f t="shared" si="22"/>
        <v>1294.5592471925929</v>
      </c>
      <c r="CR54">
        <f t="shared" si="22"/>
        <v>905.40022792435434</v>
      </c>
      <c r="CS54">
        <f t="shared" si="22"/>
        <v>1427.7504654702207</v>
      </c>
      <c r="CY54" s="33" t="s">
        <v>185</v>
      </c>
      <c r="CZ54">
        <f>$DA$42*CZ53</f>
        <v>1422.7864014120264</v>
      </c>
      <c r="DA54">
        <f t="shared" ref="DA54:DI54" si="23">$DA$42*DA53</f>
        <v>1424.523713769358</v>
      </c>
      <c r="DB54">
        <f t="shared" si="23"/>
        <v>2210.2056850473546</v>
      </c>
      <c r="DC54">
        <f t="shared" si="23"/>
        <v>1617.8508994645993</v>
      </c>
      <c r="DD54">
        <f t="shared" si="23"/>
        <v>2567.0173216421699</v>
      </c>
      <c r="DE54">
        <f t="shared" si="23"/>
        <v>1729.7701892629352</v>
      </c>
      <c r="DF54">
        <f t="shared" si="23"/>
        <v>1753.0106555528216</v>
      </c>
      <c r="DG54">
        <f t="shared" si="23"/>
        <v>2530.3434081620308</v>
      </c>
      <c r="DH54">
        <f t="shared" si="23"/>
        <v>1626.3928851402241</v>
      </c>
      <c r="DI54">
        <f t="shared" si="23"/>
        <v>2181.3569050626061</v>
      </c>
      <c r="DM54" s="33" t="s">
        <v>185</v>
      </c>
      <c r="DN54">
        <f>$DO$43*DN53</f>
        <v>3.5780884084251476</v>
      </c>
      <c r="DO54">
        <f t="shared" ref="DO54:DW54" si="24">$DO$43*DO53</f>
        <v>3.7049082825890114</v>
      </c>
      <c r="DP54">
        <f t="shared" si="24"/>
        <v>5.4403272962219535</v>
      </c>
      <c r="DQ54">
        <f t="shared" si="24"/>
        <v>3.6094094863642892</v>
      </c>
      <c r="DR54">
        <f t="shared" si="24"/>
        <v>5.7557768651696284</v>
      </c>
      <c r="DS54">
        <f t="shared" si="24"/>
        <v>3.8662796844075444</v>
      </c>
      <c r="DT54">
        <f t="shared" si="24"/>
        <v>3.8000774410876592</v>
      </c>
      <c r="DU54">
        <f t="shared" si="24"/>
        <v>5.4548450910744668</v>
      </c>
      <c r="DV54">
        <f t="shared" si="24"/>
        <v>3.598050719719986</v>
      </c>
      <c r="DW54">
        <f t="shared" si="24"/>
        <v>5.0922367249403138</v>
      </c>
    </row>
    <row r="55" spans="1:127" x14ac:dyDescent="0.35">
      <c r="AB55" s="116">
        <f t="shared" si="20"/>
        <v>2004</v>
      </c>
      <c r="AC55" s="117">
        <f>U48</f>
        <v>41214552</v>
      </c>
      <c r="AL55" s="118" t="s">
        <v>45</v>
      </c>
      <c r="AM55" s="116">
        <f>AU37</f>
        <v>0</v>
      </c>
      <c r="BO55" s="33" t="s">
        <v>93</v>
      </c>
      <c r="BP55">
        <v>0</v>
      </c>
      <c r="BQ55">
        <v>0</v>
      </c>
      <c r="BR55">
        <v>0</v>
      </c>
      <c r="BS55">
        <v>1.3044693163248215E-2</v>
      </c>
      <c r="BT55">
        <v>0.34048980090174058</v>
      </c>
      <c r="BU55">
        <v>0.32306144649959556</v>
      </c>
      <c r="BV55">
        <v>0.24503465031759275</v>
      </c>
      <c r="BW55">
        <v>7.8369409117823016E-2</v>
      </c>
      <c r="BX55">
        <v>0</v>
      </c>
      <c r="BY55">
        <v>0</v>
      </c>
      <c r="CI55" s="33" t="s">
        <v>93</v>
      </c>
      <c r="CJ55">
        <v>0</v>
      </c>
      <c r="CK55">
        <v>0</v>
      </c>
      <c r="CL55">
        <v>0</v>
      </c>
      <c r="CM55">
        <v>2.2677633953201021E-2</v>
      </c>
      <c r="CN55">
        <v>0.32282817287599785</v>
      </c>
      <c r="CO55">
        <v>0.27385148488255484</v>
      </c>
      <c r="CP55">
        <v>0.25651486750379898</v>
      </c>
      <c r="CQ55">
        <v>0.12412104699617377</v>
      </c>
      <c r="CR55">
        <v>6.7937882735482287E-6</v>
      </c>
      <c r="CS55">
        <v>0</v>
      </c>
      <c r="CY55" s="33" t="s">
        <v>93</v>
      </c>
      <c r="CZ55">
        <v>7.4635007121912983E-2</v>
      </c>
      <c r="DA55">
        <v>7.4726141195189014E-2</v>
      </c>
      <c r="DB55">
        <v>0.11594060561774464</v>
      </c>
      <c r="DC55">
        <v>8.4867491904546288E-2</v>
      </c>
      <c r="DD55">
        <v>0.13465784877666592</v>
      </c>
      <c r="DE55">
        <v>9.0738434291181641E-2</v>
      </c>
      <c r="DF55">
        <v>9.195755781200024E-2</v>
      </c>
      <c r="DG55">
        <v>0.1327340478526044</v>
      </c>
      <c r="DH55">
        <v>8.5315578251943774E-2</v>
      </c>
      <c r="DI55">
        <v>0.11442728717621092</v>
      </c>
      <c r="DM55" s="33" t="s">
        <v>93</v>
      </c>
      <c r="DN55">
        <v>0</v>
      </c>
      <c r="DO55">
        <v>0</v>
      </c>
      <c r="DP55">
        <v>3.8532763587153028E-3</v>
      </c>
      <c r="DQ55">
        <v>8.868725994375673E-2</v>
      </c>
      <c r="DR55">
        <v>0.30918354434918993</v>
      </c>
      <c r="DS55">
        <v>0.23604383596402312</v>
      </c>
      <c r="DT55">
        <v>0.2122074784084024</v>
      </c>
      <c r="DU55">
        <v>0.14717364170308189</v>
      </c>
      <c r="DV55">
        <v>2.8509632728305405E-3</v>
      </c>
      <c r="DW55">
        <v>0</v>
      </c>
    </row>
    <row r="56" spans="1:127" x14ac:dyDescent="0.35">
      <c r="AB56" s="116">
        <f t="shared" si="20"/>
        <v>2005</v>
      </c>
      <c r="AC56" s="117">
        <f>V48</f>
        <v>42990867</v>
      </c>
      <c r="AL56" s="118" t="s">
        <v>46</v>
      </c>
      <c r="AM56" s="116">
        <f>AV37</f>
        <v>0</v>
      </c>
      <c r="BO56" s="33" t="s">
        <v>189</v>
      </c>
      <c r="BP56">
        <f>$BP$43*BP55</f>
        <v>0</v>
      </c>
      <c r="BQ56">
        <f t="shared" ref="BQ56:BY56" si="25">$BP$43*BQ55</f>
        <v>0</v>
      </c>
      <c r="BR56">
        <f t="shared" si="25"/>
        <v>0</v>
      </c>
      <c r="BS56">
        <f t="shared" si="25"/>
        <v>7.6584972764876622E-2</v>
      </c>
      <c r="BT56">
        <f t="shared" si="25"/>
        <v>1.9990046375521544</v>
      </c>
      <c r="BU56">
        <f t="shared" si="25"/>
        <v>1.8966833310621418</v>
      </c>
      <c r="BV56">
        <f t="shared" si="25"/>
        <v>1.4385905276710285</v>
      </c>
      <c r="BW56">
        <f t="shared" si="25"/>
        <v>0.46010427288528355</v>
      </c>
      <c r="BX56">
        <f t="shared" si="25"/>
        <v>0</v>
      </c>
      <c r="BY56">
        <f t="shared" si="25"/>
        <v>0</v>
      </c>
      <c r="CI56" s="33" t="s">
        <v>189</v>
      </c>
      <c r="CJ56">
        <f>$CK$43*CJ55</f>
        <v>0</v>
      </c>
      <c r="CK56">
        <f t="shared" ref="CK56:CS56" si="26">$CK$43*CK55</f>
        <v>0</v>
      </c>
      <c r="CL56">
        <f t="shared" si="26"/>
        <v>0</v>
      </c>
      <c r="CM56">
        <f t="shared" si="26"/>
        <v>0.31991662183980013</v>
      </c>
      <c r="CN56">
        <f t="shared" si="26"/>
        <v>4.5541831530721124</v>
      </c>
      <c r="CO56">
        <f t="shared" si="26"/>
        <v>3.8632620188788986</v>
      </c>
      <c r="CP56">
        <f t="shared" si="26"/>
        <v>3.6186918808571642</v>
      </c>
      <c r="CQ56">
        <f t="shared" si="26"/>
        <v>1.7509933415531658</v>
      </c>
      <c r="CR56">
        <f t="shared" si="26"/>
        <v>9.5840941716126795E-5</v>
      </c>
      <c r="CS56">
        <f t="shared" si="26"/>
        <v>0</v>
      </c>
      <c r="CY56" s="33" t="s">
        <v>189</v>
      </c>
      <c r="CZ56">
        <f>$DA$43*CZ55</f>
        <v>1.4806622380637577</v>
      </c>
      <c r="DA56">
        <f t="shared" ref="DA56:DI56" si="27">$DA$43*DA55</f>
        <v>1.4824702204852014</v>
      </c>
      <c r="DB56">
        <f t="shared" si="27"/>
        <v>2.3001120146746112</v>
      </c>
      <c r="DC56">
        <f t="shared" si="27"/>
        <v>1.6836615329450313</v>
      </c>
      <c r="DD56">
        <f t="shared" si="27"/>
        <v>2.6714379676661144</v>
      </c>
      <c r="DE56">
        <f t="shared" si="27"/>
        <v>1.8001334544863457</v>
      </c>
      <c r="DF56">
        <f t="shared" si="27"/>
        <v>1.824319292076779</v>
      </c>
      <c r="DG56">
        <f t="shared" si="27"/>
        <v>2.6332722396565069</v>
      </c>
      <c r="DH56">
        <f t="shared" si="27"/>
        <v>1.6925509879014653</v>
      </c>
      <c r="DI56">
        <f t="shared" si="27"/>
        <v>2.2700897294635394</v>
      </c>
      <c r="DM56" s="33" t="s">
        <v>189</v>
      </c>
      <c r="DN56">
        <f>$DO$43*DN55</f>
        <v>0</v>
      </c>
      <c r="DO56">
        <f t="shared" ref="DO56:DW56" si="28">$DO$43*DO55</f>
        <v>0</v>
      </c>
      <c r="DP56">
        <f t="shared" si="28"/>
        <v>0.16915883214760177</v>
      </c>
      <c r="DQ56">
        <f t="shared" si="28"/>
        <v>3.8933707115309204</v>
      </c>
      <c r="DR56">
        <f t="shared" si="28"/>
        <v>13.573157596929438</v>
      </c>
      <c r="DS56">
        <f t="shared" si="28"/>
        <v>10.362324398820615</v>
      </c>
      <c r="DT56">
        <f t="shared" si="28"/>
        <v>9.3159083021288644</v>
      </c>
      <c r="DU56">
        <f t="shared" si="28"/>
        <v>6.4609228707652946</v>
      </c>
      <c r="DV56">
        <f t="shared" si="28"/>
        <v>0.12515728767726073</v>
      </c>
      <c r="DW56">
        <f t="shared" si="28"/>
        <v>0</v>
      </c>
    </row>
    <row r="57" spans="1:127" x14ac:dyDescent="0.35">
      <c r="AB57" s="116">
        <f t="shared" si="20"/>
        <v>2006</v>
      </c>
      <c r="AC57" s="117">
        <f>W48</f>
        <v>45082771</v>
      </c>
      <c r="AL57" s="118" t="s">
        <v>47</v>
      </c>
      <c r="AM57" s="116" t="str">
        <f>AW37</f>
        <v>Cons. Próprio (Industrial)</v>
      </c>
      <c r="BO57" s="33" t="s">
        <v>172</v>
      </c>
      <c r="BP57">
        <f>$BP$45/10</f>
        <v>0</v>
      </c>
      <c r="BQ57">
        <f t="shared" ref="BQ57:BY58" si="29">$BP$45/10</f>
        <v>0</v>
      </c>
      <c r="BR57">
        <f t="shared" si="29"/>
        <v>0</v>
      </c>
      <c r="BS57">
        <f t="shared" si="29"/>
        <v>0</v>
      </c>
      <c r="BT57">
        <f t="shared" si="29"/>
        <v>0</v>
      </c>
      <c r="BU57">
        <f t="shared" si="29"/>
        <v>0</v>
      </c>
      <c r="BV57">
        <f t="shared" si="29"/>
        <v>0</v>
      </c>
      <c r="BW57">
        <f t="shared" si="29"/>
        <v>0</v>
      </c>
      <c r="BX57">
        <f t="shared" si="29"/>
        <v>0</v>
      </c>
      <c r="BY57">
        <f t="shared" si="29"/>
        <v>0</v>
      </c>
      <c r="CI57" s="33" t="s">
        <v>172</v>
      </c>
      <c r="CJ57">
        <f>$CK$45/10</f>
        <v>28.007142857142856</v>
      </c>
      <c r="CK57">
        <f t="shared" ref="CK57:CS57" si="30">$CK$45/10</f>
        <v>28.007142857142856</v>
      </c>
      <c r="CL57">
        <f t="shared" si="30"/>
        <v>28.007142857142856</v>
      </c>
      <c r="CM57">
        <f t="shared" si="30"/>
        <v>28.007142857142856</v>
      </c>
      <c r="CN57">
        <f t="shared" si="30"/>
        <v>28.007142857142856</v>
      </c>
      <c r="CO57">
        <f t="shared" si="30"/>
        <v>28.007142857142856</v>
      </c>
      <c r="CP57">
        <f t="shared" si="30"/>
        <v>28.007142857142856</v>
      </c>
      <c r="CQ57">
        <f t="shared" si="30"/>
        <v>28.007142857142856</v>
      </c>
      <c r="CR57">
        <f t="shared" si="30"/>
        <v>28.007142857142856</v>
      </c>
      <c r="CS57">
        <f t="shared" si="30"/>
        <v>28.007142857142856</v>
      </c>
      <c r="CY57" s="33" t="s">
        <v>172</v>
      </c>
      <c r="CZ57">
        <f>$DA$45/10</f>
        <v>164.27096774193549</v>
      </c>
      <c r="DA57">
        <f t="shared" ref="DA57:DI57" si="31">$DA$45/10</f>
        <v>164.27096774193549</v>
      </c>
      <c r="DB57">
        <f t="shared" si="31"/>
        <v>164.27096774193549</v>
      </c>
      <c r="DC57">
        <f t="shared" si="31"/>
        <v>164.27096774193549</v>
      </c>
      <c r="DD57">
        <f t="shared" si="31"/>
        <v>164.27096774193549</v>
      </c>
      <c r="DE57">
        <f t="shared" si="31"/>
        <v>164.27096774193549</v>
      </c>
      <c r="DF57">
        <f t="shared" si="31"/>
        <v>164.27096774193549</v>
      </c>
      <c r="DG57">
        <f t="shared" si="31"/>
        <v>164.27096774193549</v>
      </c>
      <c r="DH57">
        <f t="shared" si="31"/>
        <v>164.27096774193549</v>
      </c>
      <c r="DI57">
        <f t="shared" si="31"/>
        <v>164.27096774193549</v>
      </c>
      <c r="DM57" s="33" t="s">
        <v>172</v>
      </c>
      <c r="DN57">
        <f>$DO$45/10</f>
        <v>140.00333333333333</v>
      </c>
      <c r="DO57">
        <f t="shared" ref="DO57:DW57" si="32">$DO$45/10</f>
        <v>140.00333333333333</v>
      </c>
      <c r="DP57">
        <f t="shared" si="32"/>
        <v>140.00333333333333</v>
      </c>
      <c r="DQ57">
        <f t="shared" si="32"/>
        <v>140.00333333333333</v>
      </c>
      <c r="DR57">
        <f t="shared" si="32"/>
        <v>140.00333333333333</v>
      </c>
      <c r="DS57">
        <f t="shared" si="32"/>
        <v>140.00333333333333</v>
      </c>
      <c r="DT57">
        <f t="shared" si="32"/>
        <v>140.00333333333333</v>
      </c>
      <c r="DU57">
        <f t="shared" si="32"/>
        <v>140.00333333333333</v>
      </c>
      <c r="DV57">
        <f t="shared" si="32"/>
        <v>140.00333333333333</v>
      </c>
      <c r="DW57">
        <f t="shared" si="32"/>
        <v>140.00333333333333</v>
      </c>
    </row>
    <row r="58" spans="1:127" x14ac:dyDescent="0.35">
      <c r="AB58" s="116">
        <f t="shared" si="20"/>
        <v>2007</v>
      </c>
      <c r="AC58" s="117">
        <f>X48</f>
        <v>45461182</v>
      </c>
      <c r="AL58" s="118" t="s">
        <v>48</v>
      </c>
      <c r="AM58" s="116">
        <f>AX37</f>
        <v>4318</v>
      </c>
      <c r="BO58" s="33" t="s">
        <v>170</v>
      </c>
      <c r="BP58">
        <f>$BP$45/10</f>
        <v>0</v>
      </c>
      <c r="BQ58">
        <f t="shared" si="29"/>
        <v>0</v>
      </c>
      <c r="BR58">
        <f t="shared" si="29"/>
        <v>0</v>
      </c>
      <c r="BS58">
        <f t="shared" si="29"/>
        <v>0</v>
      </c>
      <c r="BT58">
        <f t="shared" si="29"/>
        <v>0</v>
      </c>
      <c r="BU58">
        <f t="shared" si="29"/>
        <v>0</v>
      </c>
      <c r="BV58">
        <f t="shared" si="29"/>
        <v>0</v>
      </c>
      <c r="BW58">
        <f t="shared" si="29"/>
        <v>0</v>
      </c>
      <c r="BX58">
        <f t="shared" si="29"/>
        <v>0</v>
      </c>
      <c r="BY58">
        <f t="shared" si="29"/>
        <v>0</v>
      </c>
      <c r="CI58" s="33" t="s">
        <v>170</v>
      </c>
      <c r="CJ58">
        <f>$CK$44/10</f>
        <v>0</v>
      </c>
      <c r="CK58">
        <f t="shared" ref="CK58:CS58" si="33">$CK$44/10</f>
        <v>0</v>
      </c>
      <c r="CL58">
        <f t="shared" si="33"/>
        <v>0</v>
      </c>
      <c r="CM58">
        <f t="shared" si="33"/>
        <v>0</v>
      </c>
      <c r="CN58">
        <f t="shared" si="33"/>
        <v>0</v>
      </c>
      <c r="CO58">
        <f t="shared" si="33"/>
        <v>0</v>
      </c>
      <c r="CP58">
        <f t="shared" si="33"/>
        <v>0</v>
      </c>
      <c r="CQ58">
        <f t="shared" si="33"/>
        <v>0</v>
      </c>
      <c r="CR58">
        <f t="shared" si="33"/>
        <v>0</v>
      </c>
      <c r="CS58">
        <f t="shared" si="33"/>
        <v>0</v>
      </c>
      <c r="CY58" s="33" t="s">
        <v>170</v>
      </c>
      <c r="CZ58">
        <v>0</v>
      </c>
      <c r="DA58">
        <v>0</v>
      </c>
      <c r="DB58">
        <v>0</v>
      </c>
      <c r="DC58">
        <v>0</v>
      </c>
      <c r="DD58">
        <v>0</v>
      </c>
      <c r="DE58">
        <v>0</v>
      </c>
      <c r="DF58">
        <v>0</v>
      </c>
      <c r="DG58">
        <v>0</v>
      </c>
      <c r="DH58">
        <v>0</v>
      </c>
      <c r="DI58">
        <v>0</v>
      </c>
      <c r="DM58" s="33" t="s">
        <v>170</v>
      </c>
      <c r="DN58">
        <v>0</v>
      </c>
      <c r="DO58">
        <v>0</v>
      </c>
      <c r="DP58">
        <v>0</v>
      </c>
      <c r="DQ58">
        <v>0</v>
      </c>
      <c r="DR58">
        <v>0</v>
      </c>
      <c r="DS58">
        <v>0</v>
      </c>
      <c r="DU58">
        <v>0</v>
      </c>
      <c r="DV58">
        <v>0</v>
      </c>
      <c r="DW58">
        <v>0</v>
      </c>
    </row>
    <row r="59" spans="1:127" x14ac:dyDescent="0.35">
      <c r="AB59" s="116">
        <f t="shared" si="20"/>
        <v>2008</v>
      </c>
      <c r="AC59" s="117">
        <f>Y48</f>
        <v>46870112</v>
      </c>
      <c r="AL59" s="118" t="s">
        <v>49</v>
      </c>
      <c r="AM59" s="116">
        <f>AY37</f>
        <v>5257</v>
      </c>
      <c r="BO59" s="33"/>
      <c r="CI59" s="33"/>
      <c r="CY59" s="33"/>
      <c r="DM59" s="33"/>
    </row>
    <row r="60" spans="1:127" x14ac:dyDescent="0.35">
      <c r="AB60" s="116">
        <f t="shared" si="20"/>
        <v>2009</v>
      </c>
      <c r="AC60" s="117">
        <f>Z48</f>
        <v>47001965</v>
      </c>
      <c r="AL60" s="118" t="s">
        <v>50</v>
      </c>
      <c r="AM60" s="116">
        <f>AZ37</f>
        <v>3201</v>
      </c>
      <c r="BO60" s="33" t="s">
        <v>194</v>
      </c>
      <c r="BP60">
        <f>BP54+BP56+BP57+BP58</f>
        <v>1041.667069066456</v>
      </c>
      <c r="BQ60">
        <f t="shared" ref="BQ60:BY60" si="34">BQ54+BQ56+BQ57+BQ58</f>
        <v>1080.010475416371</v>
      </c>
      <c r="BR60">
        <f t="shared" si="34"/>
        <v>1624.6174419060042</v>
      </c>
      <c r="BS60">
        <f t="shared" si="34"/>
        <v>1102.6047766391744</v>
      </c>
      <c r="BT60">
        <f t="shared" si="34"/>
        <v>1823.6213259992167</v>
      </c>
      <c r="BU60">
        <f t="shared" si="34"/>
        <v>1261.4751507941555</v>
      </c>
      <c r="BV60">
        <f t="shared" si="34"/>
        <v>1169.4260849600585</v>
      </c>
      <c r="BW60">
        <f t="shared" si="34"/>
        <v>1618.3583119398202</v>
      </c>
      <c r="BX60">
        <f t="shared" si="34"/>
        <v>1073.849599861926</v>
      </c>
      <c r="BY60">
        <f t="shared" si="34"/>
        <v>1599.3375053523027</v>
      </c>
      <c r="CI60" s="33" t="s">
        <v>194</v>
      </c>
      <c r="CJ60">
        <f>CJ54+CJ56+CJ57+CJ58</f>
        <v>968.92194612198864</v>
      </c>
      <c r="CK60">
        <f t="shared" ref="CK60:CS60" si="35">CK54+CK56+CK57+CK58</f>
        <v>914.86962756330672</v>
      </c>
      <c r="CL60">
        <f t="shared" si="35"/>
        <v>1370.6884804987221</v>
      </c>
      <c r="CM60">
        <f t="shared" si="35"/>
        <v>830.35676247701792</v>
      </c>
      <c r="CN60">
        <f t="shared" si="35"/>
        <v>1326.4629149435018</v>
      </c>
      <c r="CO60">
        <f t="shared" si="35"/>
        <v>925.39167990722603</v>
      </c>
      <c r="CP60">
        <f t="shared" si="35"/>
        <v>937.25470157571522</v>
      </c>
      <c r="CQ60">
        <f t="shared" si="35"/>
        <v>1324.3173833912888</v>
      </c>
      <c r="CR60">
        <f t="shared" si="35"/>
        <v>933.40746662243896</v>
      </c>
      <c r="CS60">
        <f t="shared" si="35"/>
        <v>1455.7576083273634</v>
      </c>
      <c r="CY60" s="33" t="s">
        <v>194</v>
      </c>
      <c r="CZ60">
        <f>CZ54+CZ56+CZ57+CZ58</f>
        <v>1588.5380313920257</v>
      </c>
      <c r="DA60">
        <f t="shared" ref="DA60:DI60" si="36">DA54+DA56+DA57+DA58</f>
        <v>1590.2771517317788</v>
      </c>
      <c r="DB60">
        <f t="shared" si="36"/>
        <v>2376.7767648039649</v>
      </c>
      <c r="DC60">
        <f t="shared" si="36"/>
        <v>1783.8055287394798</v>
      </c>
      <c r="DD60">
        <f t="shared" si="36"/>
        <v>2733.9597273517716</v>
      </c>
      <c r="DE60">
        <f t="shared" si="36"/>
        <v>1895.841290459357</v>
      </c>
      <c r="DF60">
        <f t="shared" si="36"/>
        <v>1919.1059425868339</v>
      </c>
      <c r="DG60">
        <f t="shared" si="36"/>
        <v>2697.2476481436229</v>
      </c>
      <c r="DH60">
        <f t="shared" si="36"/>
        <v>1792.3564038700611</v>
      </c>
      <c r="DI60">
        <f t="shared" si="36"/>
        <v>2347.8979625340053</v>
      </c>
      <c r="DM60" s="33" t="s">
        <v>194</v>
      </c>
      <c r="DN60">
        <f t="shared" ref="DN60:DW60" si="37">DN54+DN56+DN57+DN58</f>
        <v>143.58142174175848</v>
      </c>
      <c r="DO60">
        <f t="shared" si="37"/>
        <v>143.70824161592233</v>
      </c>
      <c r="DP60">
        <f t="shared" si="37"/>
        <v>145.61281946170288</v>
      </c>
      <c r="DQ60">
        <f t="shared" si="37"/>
        <v>147.50611353122855</v>
      </c>
      <c r="DR60">
        <f t="shared" si="37"/>
        <v>159.33226779543239</v>
      </c>
      <c r="DS60">
        <f t="shared" si="37"/>
        <v>154.23193741656149</v>
      </c>
      <c r="DT60">
        <f t="shared" si="37"/>
        <v>153.11931907654986</v>
      </c>
      <c r="DU60">
        <f t="shared" si="37"/>
        <v>151.91910129517311</v>
      </c>
      <c r="DV60">
        <f t="shared" si="37"/>
        <v>143.72654134073059</v>
      </c>
      <c r="DW60">
        <f t="shared" si="37"/>
        <v>145.09557005827364</v>
      </c>
    </row>
    <row r="61" spans="1:127" x14ac:dyDescent="0.35">
      <c r="AB61" s="116">
        <f t="shared" si="20"/>
        <v>2010</v>
      </c>
      <c r="AC61" s="117">
        <f>AA48</f>
        <v>47891334</v>
      </c>
      <c r="AL61" s="118" t="s">
        <v>51</v>
      </c>
      <c r="AM61" s="116">
        <f>BA37</f>
        <v>4760</v>
      </c>
    </row>
    <row r="62" spans="1:127" x14ac:dyDescent="0.35">
      <c r="AB62" s="116">
        <f t="shared" si="20"/>
        <v>2011</v>
      </c>
      <c r="AC62" s="117">
        <f>AB48</f>
        <v>46800381</v>
      </c>
      <c r="AL62" s="118" t="s">
        <v>52</v>
      </c>
      <c r="AM62" s="116">
        <f>BB37</f>
        <v>0</v>
      </c>
    </row>
    <row r="63" spans="1:127" x14ac:dyDescent="0.35">
      <c r="AB63" s="116">
        <f t="shared" si="20"/>
        <v>2012</v>
      </c>
      <c r="AC63" s="117">
        <f>AC48</f>
        <v>44128365</v>
      </c>
    </row>
    <row r="64" spans="1:127" x14ac:dyDescent="0.35">
      <c r="AB64" s="116">
        <f t="shared" si="20"/>
        <v>2013</v>
      </c>
      <c r="AC64" s="117">
        <f>AD48</f>
        <v>43744234</v>
      </c>
    </row>
    <row r="65" spans="28:132" x14ac:dyDescent="0.35">
      <c r="AB65" s="116">
        <f t="shared" si="20"/>
        <v>2014</v>
      </c>
      <c r="AC65" s="117">
        <f>AE48</f>
        <v>43444670</v>
      </c>
    </row>
    <row r="66" spans="28:132" x14ac:dyDescent="0.35">
      <c r="AB66" s="116">
        <f t="shared" si="20"/>
        <v>2015</v>
      </c>
      <c r="AC66" s="117">
        <f>AF48</f>
        <v>43004351</v>
      </c>
    </row>
    <row r="67" spans="28:132" x14ac:dyDescent="0.35">
      <c r="AB67" s="116">
        <f t="shared" si="20"/>
        <v>2016</v>
      </c>
      <c r="AC67" s="117">
        <f>AG48</f>
        <v>43329400</v>
      </c>
    </row>
    <row r="68" spans="28:132" x14ac:dyDescent="0.35">
      <c r="AB68" s="116">
        <f t="shared" si="20"/>
        <v>2017</v>
      </c>
      <c r="AC68" s="117">
        <f>AH48</f>
        <v>43823062</v>
      </c>
      <c r="EB68" t="s">
        <v>348</v>
      </c>
    </row>
    <row r="69" spans="28:132" x14ac:dyDescent="0.35">
      <c r="AB69" s="116">
        <f t="shared" si="20"/>
        <v>2018</v>
      </c>
      <c r="AC69" s="117">
        <f>AI48</f>
        <v>43775982</v>
      </c>
    </row>
    <row r="70" spans="28:132" x14ac:dyDescent="0.35">
      <c r="AB70" s="116">
        <f t="shared" si="20"/>
        <v>2019</v>
      </c>
      <c r="AC70" s="117">
        <f>AJ48</f>
        <v>43419551</v>
      </c>
    </row>
    <row r="71" spans="28:132" x14ac:dyDescent="0.35">
      <c r="AB71" s="116">
        <f t="shared" si="20"/>
        <v>2020</v>
      </c>
      <c r="AC71" s="117">
        <f>AK48</f>
        <v>42585061</v>
      </c>
    </row>
    <row r="72" spans="28:132" x14ac:dyDescent="0.35">
      <c r="AB72" s="116">
        <f t="shared" si="20"/>
        <v>2021</v>
      </c>
      <c r="AC72" s="117">
        <f>AL48</f>
        <v>45977220</v>
      </c>
    </row>
    <row r="73" spans="28:132" x14ac:dyDescent="0.35">
      <c r="AB73" s="116">
        <f t="shared" si="20"/>
        <v>2022</v>
      </c>
      <c r="AC73" s="116">
        <f>AM48</f>
        <v>46026687</v>
      </c>
    </row>
    <row r="75" spans="28:132" x14ac:dyDescent="0.35">
      <c r="AC75">
        <f>AC73*10^-6</f>
        <v>46.026686999999995</v>
      </c>
    </row>
    <row r="88" spans="66:116" x14ac:dyDescent="0.35">
      <c r="BN88" s="29" t="s">
        <v>173</v>
      </c>
      <c r="CH88" s="29" t="s">
        <v>179</v>
      </c>
      <c r="CX88" s="29" t="s">
        <v>180</v>
      </c>
      <c r="DL88" s="29" t="s">
        <v>183</v>
      </c>
    </row>
    <row r="97" spans="67:127" x14ac:dyDescent="0.35">
      <c r="BO97" t="s">
        <v>181</v>
      </c>
      <c r="BP97">
        <f>BB43/31</f>
        <v>64148.354838709674</v>
      </c>
      <c r="CY97" t="s">
        <v>181</v>
      </c>
      <c r="CZ97">
        <f>BD43/31</f>
        <v>127024.93548387097</v>
      </c>
      <c r="DM97" t="s">
        <v>181</v>
      </c>
      <c r="DN97">
        <f>BE43/31</f>
        <v>137796.61290322582</v>
      </c>
    </row>
    <row r="98" spans="67:127" x14ac:dyDescent="0.35">
      <c r="BO98" t="s">
        <v>201</v>
      </c>
      <c r="BP98">
        <f>BB6/31</f>
        <v>16248.322580645161</v>
      </c>
      <c r="CI98" t="s">
        <v>181</v>
      </c>
      <c r="CJ98">
        <f>BC43/30</f>
        <v>183306.63333333333</v>
      </c>
      <c r="CY98" t="s">
        <v>201</v>
      </c>
      <c r="CZ98">
        <f>BD6/31</f>
        <v>6988</v>
      </c>
      <c r="DM98" t="s">
        <v>201</v>
      </c>
      <c r="DN98">
        <f>BE6/31</f>
        <v>5482.8064516129034</v>
      </c>
    </row>
    <row r="99" spans="67:127" x14ac:dyDescent="0.35">
      <c r="BO99" t="s">
        <v>93</v>
      </c>
      <c r="BP99">
        <f>BB15/31</f>
        <v>52.064516129032256</v>
      </c>
      <c r="CI99" t="s">
        <v>201</v>
      </c>
      <c r="CJ99">
        <f>BC6/30</f>
        <v>16102.533333333333</v>
      </c>
      <c r="CY99" t="s">
        <v>93</v>
      </c>
      <c r="CZ99">
        <f>BD15/31</f>
        <v>129.12903225806451</v>
      </c>
      <c r="DM99" t="s">
        <v>93</v>
      </c>
      <c r="DN99">
        <f>BE15/31</f>
        <v>122.29032258064517</v>
      </c>
    </row>
    <row r="100" spans="67:127" x14ac:dyDescent="0.35">
      <c r="BO100" t="s">
        <v>170</v>
      </c>
      <c r="BP100">
        <v>0</v>
      </c>
      <c r="CI100" t="s">
        <v>93</v>
      </c>
      <c r="CJ100">
        <f>BC15/30</f>
        <v>54.466666666666669</v>
      </c>
      <c r="CY100" t="s">
        <v>170</v>
      </c>
      <c r="CZ100">
        <v>0</v>
      </c>
      <c r="DM100" t="s">
        <v>170</v>
      </c>
      <c r="DN100">
        <v>0</v>
      </c>
    </row>
    <row r="101" spans="67:127" x14ac:dyDescent="0.35">
      <c r="BO101" t="s">
        <v>172</v>
      </c>
      <c r="BP101">
        <f>BB10/31</f>
        <v>725.0322580645161</v>
      </c>
      <c r="CI101" t="s">
        <v>170</v>
      </c>
      <c r="CJ101">
        <v>0</v>
      </c>
      <c r="CY101" t="s">
        <v>172</v>
      </c>
      <c r="CZ101">
        <f>BD10/31</f>
        <v>39.935483870967744</v>
      </c>
      <c r="DM101" t="s">
        <v>172</v>
      </c>
      <c r="DN101">
        <f>BE10/31</f>
        <v>0</v>
      </c>
    </row>
    <row r="102" spans="67:127" x14ac:dyDescent="0.35">
      <c r="CI102" t="s">
        <v>172</v>
      </c>
      <c r="CJ102">
        <f>BC10/30</f>
        <v>59.4</v>
      </c>
    </row>
    <row r="105" spans="67:127" x14ac:dyDescent="0.35">
      <c r="BO105" s="33"/>
      <c r="BP105" t="s">
        <v>154</v>
      </c>
      <c r="BQ105" t="s">
        <v>155</v>
      </c>
      <c r="BR105" t="s">
        <v>156</v>
      </c>
      <c r="BS105" t="s">
        <v>157</v>
      </c>
      <c r="BT105" t="s">
        <v>158</v>
      </c>
      <c r="BU105" t="s">
        <v>159</v>
      </c>
      <c r="BV105" t="s">
        <v>160</v>
      </c>
      <c r="BW105" t="s">
        <v>161</v>
      </c>
      <c r="BX105" t="s">
        <v>162</v>
      </c>
      <c r="BY105" t="s">
        <v>163</v>
      </c>
      <c r="CI105" s="33"/>
      <c r="CJ105" t="s">
        <v>154</v>
      </c>
      <c r="CK105" t="s">
        <v>155</v>
      </c>
      <c r="CL105" t="s">
        <v>156</v>
      </c>
      <c r="CM105" t="s">
        <v>157</v>
      </c>
      <c r="CN105" t="s">
        <v>158</v>
      </c>
      <c r="CO105" t="s">
        <v>159</v>
      </c>
      <c r="CP105" t="s">
        <v>160</v>
      </c>
      <c r="CQ105" t="s">
        <v>161</v>
      </c>
      <c r="CR105" t="s">
        <v>162</v>
      </c>
      <c r="CS105" t="s">
        <v>163</v>
      </c>
      <c r="CY105" s="33"/>
      <c r="CZ105" t="s">
        <v>154</v>
      </c>
      <c r="DA105" t="s">
        <v>155</v>
      </c>
      <c r="DB105" t="s">
        <v>156</v>
      </c>
      <c r="DC105" t="s">
        <v>157</v>
      </c>
      <c r="DD105" t="s">
        <v>158</v>
      </c>
      <c r="DE105" t="s">
        <v>159</v>
      </c>
      <c r="DF105" t="s">
        <v>160</v>
      </c>
      <c r="DG105" t="s">
        <v>161</v>
      </c>
      <c r="DH105" t="s">
        <v>162</v>
      </c>
      <c r="DI105" t="s">
        <v>163</v>
      </c>
      <c r="DM105" s="33"/>
      <c r="DN105" t="s">
        <v>154</v>
      </c>
      <c r="DO105" t="s">
        <v>155</v>
      </c>
      <c r="DP105" t="s">
        <v>156</v>
      </c>
      <c r="DQ105" t="s">
        <v>157</v>
      </c>
      <c r="DR105" t="s">
        <v>158</v>
      </c>
      <c r="DS105" t="s">
        <v>159</v>
      </c>
      <c r="DT105" t="s">
        <v>160</v>
      </c>
      <c r="DU105" t="s">
        <v>161</v>
      </c>
      <c r="DV105" t="s">
        <v>162</v>
      </c>
      <c r="DW105" t="s">
        <v>163</v>
      </c>
    </row>
    <row r="106" spans="67:127" x14ac:dyDescent="0.35">
      <c r="BO106" s="33" t="s">
        <v>181</v>
      </c>
      <c r="BP106">
        <v>8.6206896551724144E-2</v>
      </c>
      <c r="BQ106">
        <v>7.7586206896551727E-2</v>
      </c>
      <c r="BR106">
        <v>7.7586206896551727E-2</v>
      </c>
      <c r="BS106">
        <v>7.7586206896551727E-2</v>
      </c>
      <c r="BT106">
        <v>0.11206896551724138</v>
      </c>
      <c r="BU106">
        <v>0.11206896551724138</v>
      </c>
      <c r="BV106">
        <v>0.1206896551724138</v>
      </c>
      <c r="BW106">
        <v>0.10344827586206896</v>
      </c>
      <c r="BX106">
        <v>0.10344827586206896</v>
      </c>
      <c r="BY106">
        <v>0.12931034482758622</v>
      </c>
      <c r="CI106" s="33" t="s">
        <v>181</v>
      </c>
      <c r="CJ106">
        <v>8.6956521739130432E-2</v>
      </c>
      <c r="CK106">
        <v>7.8260869565217397E-2</v>
      </c>
      <c r="CL106">
        <v>7.8260869565217397E-2</v>
      </c>
      <c r="CM106">
        <v>7.8260869565217397E-2</v>
      </c>
      <c r="CN106">
        <v>0.10434782608695652</v>
      </c>
      <c r="CO106">
        <v>0.12173913043478261</v>
      </c>
      <c r="CP106">
        <v>0.12173913043478261</v>
      </c>
      <c r="CQ106">
        <v>0.10434782608695652</v>
      </c>
      <c r="CR106">
        <v>0.10434782608695652</v>
      </c>
      <c r="CS106">
        <v>0.12173913043478261</v>
      </c>
      <c r="CY106" s="33" t="s">
        <v>181</v>
      </c>
      <c r="CZ106">
        <v>9.5238095238095233E-2</v>
      </c>
      <c r="DA106">
        <v>7.9365079365079361E-2</v>
      </c>
      <c r="DB106">
        <v>7.1428571428571425E-2</v>
      </c>
      <c r="DC106">
        <v>7.1428571428571425E-2</v>
      </c>
      <c r="DD106">
        <v>0.1111111111111111</v>
      </c>
      <c r="DE106">
        <v>0.11904761904761904</v>
      </c>
      <c r="DF106">
        <v>0.11904761904761904</v>
      </c>
      <c r="DG106">
        <v>0.11904761904761904</v>
      </c>
      <c r="DH106">
        <v>0.10317460317460317</v>
      </c>
      <c r="DI106">
        <v>0.1111111111111111</v>
      </c>
      <c r="DM106" s="33" t="s">
        <v>181</v>
      </c>
      <c r="DN106">
        <v>9.2307692307692313E-2</v>
      </c>
      <c r="DO106">
        <v>8.461538461538462E-2</v>
      </c>
      <c r="DP106">
        <v>7.6923076923076927E-2</v>
      </c>
      <c r="DQ106">
        <v>7.6923076923076927E-2</v>
      </c>
      <c r="DR106">
        <v>0.1</v>
      </c>
      <c r="DS106">
        <v>0.11538461538461539</v>
      </c>
      <c r="DT106">
        <v>0.11538461538461539</v>
      </c>
      <c r="DU106">
        <v>0.11538461538461539</v>
      </c>
      <c r="DV106">
        <v>0.1076923076923077</v>
      </c>
      <c r="DW106">
        <v>0.11538461538461539</v>
      </c>
    </row>
    <row r="107" spans="67:127" x14ac:dyDescent="0.35">
      <c r="BO107" s="33" t="s">
        <v>181</v>
      </c>
      <c r="BP107">
        <f>$BP$97*BP106</f>
        <v>5530.0305895439378</v>
      </c>
      <c r="BQ107">
        <f t="shared" ref="BQ107:BY107" si="38">$BP$97*BQ106</f>
        <v>4977.0275305895439</v>
      </c>
      <c r="BR107">
        <f t="shared" si="38"/>
        <v>4977.0275305895439</v>
      </c>
      <c r="BS107">
        <f t="shared" si="38"/>
        <v>4977.0275305895439</v>
      </c>
      <c r="BT107">
        <f t="shared" si="38"/>
        <v>7189.0397664071188</v>
      </c>
      <c r="BU107">
        <f t="shared" si="38"/>
        <v>7189.0397664071188</v>
      </c>
      <c r="BV107">
        <f t="shared" si="38"/>
        <v>7742.0428253615128</v>
      </c>
      <c r="BW107">
        <f t="shared" si="38"/>
        <v>6636.0367074527248</v>
      </c>
      <c r="BX107">
        <f t="shared" si="38"/>
        <v>6636.0367074527248</v>
      </c>
      <c r="BY107">
        <f t="shared" si="38"/>
        <v>8295.0458843159067</v>
      </c>
      <c r="CI107" s="33" t="s">
        <v>181</v>
      </c>
      <c r="CJ107">
        <f>$CJ$98*CJ106</f>
        <v>15939.707246376811</v>
      </c>
      <c r="CK107">
        <f t="shared" ref="CK107:CS107" si="39">$CJ$98*CK106</f>
        <v>14345.736521739131</v>
      </c>
      <c r="CL107">
        <f t="shared" si="39"/>
        <v>14345.736521739131</v>
      </c>
      <c r="CM107">
        <f t="shared" si="39"/>
        <v>14345.736521739131</v>
      </c>
      <c r="CN107">
        <f t="shared" si="39"/>
        <v>19127.648695652173</v>
      </c>
      <c r="CO107">
        <f t="shared" si="39"/>
        <v>22315.590144927537</v>
      </c>
      <c r="CP107">
        <f t="shared" si="39"/>
        <v>22315.590144927537</v>
      </c>
      <c r="CQ107">
        <f t="shared" si="39"/>
        <v>19127.648695652173</v>
      </c>
      <c r="CR107">
        <f t="shared" si="39"/>
        <v>19127.648695652173</v>
      </c>
      <c r="CS107">
        <f t="shared" si="39"/>
        <v>22315.590144927537</v>
      </c>
      <c r="CY107" s="33" t="s">
        <v>181</v>
      </c>
      <c r="CZ107">
        <f>$CZ$97*CZ106</f>
        <v>12097.612903225807</v>
      </c>
      <c r="DA107">
        <f t="shared" ref="DA107:DI107" si="40">$CZ$97*DA106</f>
        <v>10081.344086021505</v>
      </c>
      <c r="DB107">
        <f t="shared" si="40"/>
        <v>9073.2096774193542</v>
      </c>
      <c r="DC107">
        <f t="shared" si="40"/>
        <v>9073.2096774193542</v>
      </c>
      <c r="DD107">
        <f t="shared" si="40"/>
        <v>14113.881720430107</v>
      </c>
      <c r="DE107">
        <f t="shared" si="40"/>
        <v>15122.016129032258</v>
      </c>
      <c r="DF107">
        <f t="shared" si="40"/>
        <v>15122.016129032258</v>
      </c>
      <c r="DG107">
        <f t="shared" si="40"/>
        <v>15122.016129032258</v>
      </c>
      <c r="DH107">
        <f t="shared" si="40"/>
        <v>13105.747311827956</v>
      </c>
      <c r="DI107">
        <f t="shared" si="40"/>
        <v>14113.881720430107</v>
      </c>
      <c r="DM107" s="33" t="s">
        <v>181</v>
      </c>
      <c r="DN107">
        <f>$DN$97*DN106</f>
        <v>12719.687344913153</v>
      </c>
      <c r="DO107">
        <f t="shared" ref="DO107:DW107" si="41">$DN$97*DO106</f>
        <v>11659.713399503724</v>
      </c>
      <c r="DP107">
        <f t="shared" si="41"/>
        <v>10599.739454094295</v>
      </c>
      <c r="DQ107">
        <f t="shared" si="41"/>
        <v>10599.739454094295</v>
      </c>
      <c r="DR107">
        <f t="shared" si="41"/>
        <v>13779.661290322583</v>
      </c>
      <c r="DS107">
        <f t="shared" si="41"/>
        <v>15899.609181141441</v>
      </c>
      <c r="DT107">
        <f t="shared" si="41"/>
        <v>15899.609181141441</v>
      </c>
      <c r="DU107">
        <f t="shared" si="41"/>
        <v>15899.609181141441</v>
      </c>
      <c r="DV107">
        <f t="shared" si="41"/>
        <v>14839.635235732012</v>
      </c>
      <c r="DW107">
        <f t="shared" si="41"/>
        <v>15899.609181141441</v>
      </c>
    </row>
    <row r="108" spans="67:127" x14ac:dyDescent="0.35">
      <c r="BO108" s="33" t="s">
        <v>184</v>
      </c>
      <c r="BP108">
        <v>7.9949096971599062E-2</v>
      </c>
      <c r="BQ108">
        <v>7.634425215508267E-2</v>
      </c>
      <c r="BR108">
        <v>0.12152219819130708</v>
      </c>
      <c r="BS108">
        <v>8.4772009333338255E-2</v>
      </c>
      <c r="BT108">
        <v>0.1303190667489188</v>
      </c>
      <c r="BU108">
        <v>9.0678649919638477E-2</v>
      </c>
      <c r="BV108">
        <v>8.8024910729770089E-2</v>
      </c>
      <c r="BW108">
        <v>0.12849754499068319</v>
      </c>
      <c r="BX108">
        <v>8.179336628196783E-2</v>
      </c>
      <c r="BY108">
        <v>0.11809890467769445</v>
      </c>
      <c r="CI108" s="33" t="s">
        <v>184</v>
      </c>
      <c r="CJ108">
        <v>7.470973964625599E-2</v>
      </c>
      <c r="CK108">
        <v>7.6914055941984139E-2</v>
      </c>
      <c r="CL108">
        <v>0.12282078418850546</v>
      </c>
      <c r="CM108">
        <v>8.7669407694409424E-2</v>
      </c>
      <c r="CN108">
        <v>0.13413410736094331</v>
      </c>
      <c r="CO108">
        <v>8.8681245247367327E-2</v>
      </c>
      <c r="CP108">
        <v>9.1268652540168999E-2</v>
      </c>
      <c r="CQ108">
        <v>0.12993862314379862</v>
      </c>
      <c r="CR108">
        <v>8.0047501637703716E-2</v>
      </c>
      <c r="CS108">
        <v>0.11381588259886299</v>
      </c>
      <c r="CY108" s="33" t="s">
        <v>184</v>
      </c>
      <c r="CZ108">
        <v>7.6584363232027636E-2</v>
      </c>
      <c r="DA108">
        <v>7.5542833776970214E-2</v>
      </c>
      <c r="DB108">
        <v>0.11574613297614988</v>
      </c>
      <c r="DC108">
        <v>8.3353975059453911E-2</v>
      </c>
      <c r="DD108">
        <v>0.13519262695847001</v>
      </c>
      <c r="DE108">
        <v>9.4710005531883037E-2</v>
      </c>
      <c r="DF108">
        <v>9.4144773233295953E-2</v>
      </c>
      <c r="DG108">
        <v>0.12756660255433266</v>
      </c>
      <c r="DH108">
        <v>7.7838019452603394E-2</v>
      </c>
      <c r="DI108">
        <v>0.11932066722481321</v>
      </c>
      <c r="DM108" s="33" t="s">
        <v>184</v>
      </c>
      <c r="DN108">
        <v>7.6436260917317117E-2</v>
      </c>
      <c r="DO108">
        <v>8.1317533711188855E-2</v>
      </c>
      <c r="DP108">
        <v>0.12323731815776855</v>
      </c>
      <c r="DQ108">
        <v>8.3026023427514084E-2</v>
      </c>
      <c r="DR108">
        <v>0.14163757249947945</v>
      </c>
      <c r="DS108">
        <v>9.78864628511871E-2</v>
      </c>
      <c r="DT108">
        <v>9.2654821373905322E-2</v>
      </c>
      <c r="DU108">
        <v>0.12402181369469675</v>
      </c>
      <c r="DV108">
        <v>7.3747741626099983E-2</v>
      </c>
      <c r="DW108">
        <v>0.10603445174084281</v>
      </c>
    </row>
    <row r="109" spans="67:127" x14ac:dyDescent="0.35">
      <c r="BO109" s="33" t="s">
        <v>185</v>
      </c>
      <c r="BP109">
        <f>$BP$98*BP108</f>
        <v>1299.0387176258228</v>
      </c>
      <c r="BQ109">
        <f t="shared" ref="BQ109:BY109" si="42">$BP$98*BQ108</f>
        <v>1240.4660361938977</v>
      </c>
      <c r="BR109">
        <f t="shared" si="42"/>
        <v>1974.5318769214514</v>
      </c>
      <c r="BS109">
        <f t="shared" si="42"/>
        <v>1377.4029534575423</v>
      </c>
      <c r="BT109">
        <f t="shared" si="42"/>
        <v>2117.4662349450614</v>
      </c>
      <c r="BU109">
        <f t="shared" si="42"/>
        <v>1473.3759550716793</v>
      </c>
      <c r="BV109">
        <f t="shared" si="42"/>
        <v>1430.2571446697978</v>
      </c>
      <c r="BW109">
        <f t="shared" si="42"/>
        <v>2087.8695618295851</v>
      </c>
      <c r="BX109">
        <f t="shared" si="42"/>
        <v>1329.0050003062784</v>
      </c>
      <c r="BY109">
        <f t="shared" si="42"/>
        <v>1918.9090996240432</v>
      </c>
      <c r="CI109" s="33" t="s">
        <v>185</v>
      </c>
      <c r="CJ109">
        <f>$CJ$99*CJ108</f>
        <v>1203.0160729784918</v>
      </c>
      <c r="CK109">
        <f t="shared" ref="CK109:CS109" si="43">$CJ$99*CK108</f>
        <v>1238.5111496076643</v>
      </c>
      <c r="CL109">
        <f t="shared" si="43"/>
        <v>1977.7257714215489</v>
      </c>
      <c r="CM109">
        <f t="shared" si="43"/>
        <v>1411.6995597128175</v>
      </c>
      <c r="CN109">
        <f t="shared" si="43"/>
        <v>2159.8989349165017</v>
      </c>
      <c r="CO109">
        <f t="shared" si="43"/>
        <v>1427.9927076372405</v>
      </c>
      <c r="CP109">
        <f t="shared" si="43"/>
        <v>1469.6565198164892</v>
      </c>
      <c r="CQ109">
        <f t="shared" si="43"/>
        <v>2092.3410104604554</v>
      </c>
      <c r="CR109">
        <f t="shared" si="43"/>
        <v>1288.9675633711786</v>
      </c>
      <c r="CS109">
        <f t="shared" si="43"/>
        <v>1832.7240434109447</v>
      </c>
      <c r="CY109" s="33" t="s">
        <v>185</v>
      </c>
      <c r="CZ109">
        <f>$CZ$98*CZ108</f>
        <v>535.17153026540916</v>
      </c>
      <c r="DA109">
        <f t="shared" ref="DA109:DI109" si="44">$CZ$98*DA108</f>
        <v>527.8933224334678</v>
      </c>
      <c r="DB109">
        <f t="shared" si="44"/>
        <v>808.83397723733538</v>
      </c>
      <c r="DC109">
        <f t="shared" si="44"/>
        <v>582.47757771546389</v>
      </c>
      <c r="DD109">
        <f t="shared" si="44"/>
        <v>944.72607718578843</v>
      </c>
      <c r="DE109">
        <f t="shared" si="44"/>
        <v>661.83351865679867</v>
      </c>
      <c r="DF109">
        <f t="shared" si="44"/>
        <v>657.8836753542721</v>
      </c>
      <c r="DG109">
        <f t="shared" si="44"/>
        <v>891.43541864967665</v>
      </c>
      <c r="DH109">
        <f t="shared" si="44"/>
        <v>543.93207993479257</v>
      </c>
      <c r="DI109">
        <f t="shared" si="44"/>
        <v>833.81282256699478</v>
      </c>
      <c r="DM109" s="33" t="s">
        <v>185</v>
      </c>
      <c r="DN109">
        <f>$DN$98*DN108</f>
        <v>419.08522449463351</v>
      </c>
      <c r="DO109">
        <f t="shared" ref="DO109:DW109" si="45">$DN$98*DO108</f>
        <v>445.84829846095602</v>
      </c>
      <c r="DP109">
        <f t="shared" si="45"/>
        <v>675.68636307488543</v>
      </c>
      <c r="DQ109">
        <f t="shared" si="45"/>
        <v>455.21561690013829</v>
      </c>
      <c r="DR109">
        <f t="shared" si="45"/>
        <v>776.57139629093626</v>
      </c>
      <c r="DS109">
        <f t="shared" si="45"/>
        <v>536.69253004605548</v>
      </c>
      <c r="DT109">
        <f t="shared" si="45"/>
        <v>508.00845240188926</v>
      </c>
      <c r="DU109">
        <f t="shared" si="45"/>
        <v>679.9876002660169</v>
      </c>
      <c r="DV109">
        <f t="shared" si="45"/>
        <v>404.34459357946247</v>
      </c>
      <c r="DW109">
        <f t="shared" si="45"/>
        <v>581.36637609793002</v>
      </c>
    </row>
    <row r="110" spans="67:127" x14ac:dyDescent="0.35">
      <c r="BO110" s="33" t="s">
        <v>93</v>
      </c>
      <c r="BP110">
        <v>0</v>
      </c>
      <c r="BQ110">
        <v>0</v>
      </c>
      <c r="BR110">
        <v>1.6912276481376876E-2</v>
      </c>
      <c r="BS110">
        <v>0.12472034774389343</v>
      </c>
      <c r="BT110">
        <v>0.291295855562761</v>
      </c>
      <c r="BU110">
        <v>0.20254610956859612</v>
      </c>
      <c r="BV110">
        <v>0.19518989845648871</v>
      </c>
      <c r="BW110">
        <v>0.16128482373776326</v>
      </c>
      <c r="BX110">
        <v>8.0506884491207721E-3</v>
      </c>
      <c r="BY110">
        <v>0</v>
      </c>
      <c r="CI110" s="33" t="s">
        <v>93</v>
      </c>
      <c r="CJ110">
        <v>0</v>
      </c>
      <c r="CK110">
        <v>0</v>
      </c>
      <c r="CL110">
        <v>1.5487411151974733E-2</v>
      </c>
      <c r="CM110">
        <v>0.1221564823799694</v>
      </c>
      <c r="CN110">
        <v>0.2967372598116621</v>
      </c>
      <c r="CO110">
        <v>0.21212829109425207</v>
      </c>
      <c r="CP110">
        <v>0.19128534809333653</v>
      </c>
      <c r="CQ110">
        <v>0.15291595696633917</v>
      </c>
      <c r="CR110">
        <v>9.2892505024658872E-3</v>
      </c>
      <c r="CS110">
        <v>0</v>
      </c>
      <c r="CY110" s="33" t="s">
        <v>93</v>
      </c>
      <c r="CZ110">
        <v>0</v>
      </c>
      <c r="DA110">
        <v>0</v>
      </c>
      <c r="DB110">
        <v>1.1707552130811679E-2</v>
      </c>
      <c r="DC110">
        <v>0.12818065899972236</v>
      </c>
      <c r="DD110">
        <v>0.28111525335227833</v>
      </c>
      <c r="DE110">
        <v>0.19245757582740558</v>
      </c>
      <c r="DF110">
        <v>0.19983338164565645</v>
      </c>
      <c r="DG110">
        <v>0.17544534451004457</v>
      </c>
      <c r="DH110">
        <v>1.1260233534081022E-2</v>
      </c>
      <c r="DI110">
        <v>0</v>
      </c>
      <c r="DM110" s="33" t="s">
        <v>93</v>
      </c>
      <c r="DN110">
        <v>0</v>
      </c>
      <c r="DO110">
        <v>0</v>
      </c>
      <c r="DP110">
        <v>8.8302227546138336E-3</v>
      </c>
      <c r="DQ110">
        <v>0.13767769669300842</v>
      </c>
      <c r="DR110">
        <v>0.28081797633474381</v>
      </c>
      <c r="DS110">
        <v>0.20245599013898169</v>
      </c>
      <c r="DT110">
        <v>0.18944301310275516</v>
      </c>
      <c r="DU110">
        <v>0.17509035529631645</v>
      </c>
      <c r="DV110">
        <v>5.684745679580442E-3</v>
      </c>
      <c r="DW110">
        <v>0</v>
      </c>
    </row>
    <row r="111" spans="67:127" x14ac:dyDescent="0.35">
      <c r="BO111" s="33" t="s">
        <v>189</v>
      </c>
      <c r="BP111">
        <f>$BP$99*BP110</f>
        <v>0</v>
      </c>
      <c r="BQ111">
        <f t="shared" ref="BQ111:BY111" si="46">$BP$99*BQ110</f>
        <v>0</v>
      </c>
      <c r="BR111">
        <f t="shared" si="46"/>
        <v>0.8805294916432993</v>
      </c>
      <c r="BS111">
        <f t="shared" si="46"/>
        <v>6.4935045567304508</v>
      </c>
      <c r="BT111">
        <f t="shared" si="46"/>
        <v>15.16617777026762</v>
      </c>
      <c r="BU111">
        <f t="shared" si="46"/>
        <v>10.545465188506908</v>
      </c>
      <c r="BV111">
        <f t="shared" si="46"/>
        <v>10.162467616412025</v>
      </c>
      <c r="BW111">
        <f t="shared" si="46"/>
        <v>8.3972163068628998</v>
      </c>
      <c r="BX111">
        <f t="shared" si="46"/>
        <v>0.41915519860906214</v>
      </c>
      <c r="BY111">
        <f t="shared" si="46"/>
        <v>0</v>
      </c>
      <c r="CI111" s="33" t="s">
        <v>189</v>
      </c>
      <c r="CJ111">
        <f>$CJ$100*CJ110</f>
        <v>0</v>
      </c>
      <c r="CK111">
        <f t="shared" ref="CK111:CS111" si="47">$CJ$100*CK110</f>
        <v>0</v>
      </c>
      <c r="CL111">
        <f t="shared" si="47"/>
        <v>0.84354766074422383</v>
      </c>
      <c r="CM111">
        <f t="shared" si="47"/>
        <v>6.6534564069623334</v>
      </c>
      <c r="CN111">
        <f t="shared" si="47"/>
        <v>16.162289417741864</v>
      </c>
      <c r="CO111">
        <f t="shared" si="47"/>
        <v>11.553920921600264</v>
      </c>
      <c r="CP111">
        <f t="shared" si="47"/>
        <v>10.418675292817063</v>
      </c>
      <c r="CQ111">
        <f t="shared" si="47"/>
        <v>8.3288224560999407</v>
      </c>
      <c r="CR111">
        <f t="shared" si="47"/>
        <v>0.5059545107009753</v>
      </c>
      <c r="CS111">
        <f t="shared" si="47"/>
        <v>0</v>
      </c>
      <c r="CY111" s="33" t="s">
        <v>189</v>
      </c>
      <c r="CZ111">
        <f>$CZ$99*CZ110</f>
        <v>0</v>
      </c>
      <c r="DA111">
        <f t="shared" ref="DA111:DI111" si="48">$CZ$99*DA110</f>
        <v>0</v>
      </c>
      <c r="DB111">
        <f t="shared" si="48"/>
        <v>1.5117848767625532</v>
      </c>
      <c r="DC111">
        <f t="shared" si="48"/>
        <v>16.551844450835116</v>
      </c>
      <c r="DD111">
        <f t="shared" si="48"/>
        <v>36.300140618360324</v>
      </c>
      <c r="DE111">
        <f t="shared" si="48"/>
        <v>24.851860517325953</v>
      </c>
      <c r="DF111">
        <f t="shared" si="48"/>
        <v>25.804291184760089</v>
      </c>
      <c r="DG111">
        <f t="shared" si="48"/>
        <v>22.655087550764787</v>
      </c>
      <c r="DH111">
        <f t="shared" si="48"/>
        <v>1.454023059255688</v>
      </c>
      <c r="DI111">
        <f t="shared" si="48"/>
        <v>0</v>
      </c>
      <c r="DM111" s="33" t="s">
        <v>189</v>
      </c>
      <c r="DN111">
        <f>$DN$99*DN110</f>
        <v>0</v>
      </c>
      <c r="DO111">
        <f t="shared" ref="DO111:DW111" si="49">$DN$99*DO110</f>
        <v>0</v>
      </c>
      <c r="DP111">
        <f t="shared" si="49"/>
        <v>1.0798507891206788</v>
      </c>
      <c r="DQ111">
        <f t="shared" si="49"/>
        <v>16.836649940748224</v>
      </c>
      <c r="DR111">
        <f t="shared" si="49"/>
        <v>34.341320912419803</v>
      </c>
      <c r="DS111">
        <f t="shared" si="49"/>
        <v>24.758408342479989</v>
      </c>
      <c r="DT111">
        <f t="shared" si="49"/>
        <v>23.167047182985318</v>
      </c>
      <c r="DU111">
        <f t="shared" si="49"/>
        <v>21.411856029946311</v>
      </c>
      <c r="DV111">
        <f t="shared" si="49"/>
        <v>0.69518938294482113</v>
      </c>
      <c r="DW111">
        <f t="shared" si="49"/>
        <v>0</v>
      </c>
    </row>
    <row r="112" spans="67:127" x14ac:dyDescent="0.35">
      <c r="BO112" s="33" t="s">
        <v>172</v>
      </c>
      <c r="BP112">
        <f>$BP$101/10</f>
        <v>72.50322580645161</v>
      </c>
      <c r="BQ112">
        <f t="shared" ref="BQ112:BY112" si="50">$BP$101/10</f>
        <v>72.50322580645161</v>
      </c>
      <c r="BR112">
        <f t="shared" si="50"/>
        <v>72.50322580645161</v>
      </c>
      <c r="BS112">
        <f t="shared" si="50"/>
        <v>72.50322580645161</v>
      </c>
      <c r="BT112">
        <f t="shared" si="50"/>
        <v>72.50322580645161</v>
      </c>
      <c r="BU112">
        <f t="shared" si="50"/>
        <v>72.50322580645161</v>
      </c>
      <c r="BV112">
        <f t="shared" si="50"/>
        <v>72.50322580645161</v>
      </c>
      <c r="BW112">
        <f t="shared" si="50"/>
        <v>72.50322580645161</v>
      </c>
      <c r="BX112">
        <f t="shared" si="50"/>
        <v>72.50322580645161</v>
      </c>
      <c r="BY112">
        <f t="shared" si="50"/>
        <v>72.50322580645161</v>
      </c>
      <c r="CI112" s="33" t="s">
        <v>172</v>
      </c>
      <c r="CJ112">
        <f>$CJ$102/10</f>
        <v>5.9399999999999995</v>
      </c>
      <c r="CK112">
        <f t="shared" ref="CK112:CS112" si="51">$CJ$102/10</f>
        <v>5.9399999999999995</v>
      </c>
      <c r="CL112">
        <f t="shared" si="51"/>
        <v>5.9399999999999995</v>
      </c>
      <c r="CM112">
        <f t="shared" si="51"/>
        <v>5.9399999999999995</v>
      </c>
      <c r="CN112">
        <f t="shared" si="51"/>
        <v>5.9399999999999995</v>
      </c>
      <c r="CO112">
        <f t="shared" si="51"/>
        <v>5.9399999999999995</v>
      </c>
      <c r="CP112">
        <f t="shared" si="51"/>
        <v>5.9399999999999995</v>
      </c>
      <c r="CQ112">
        <f t="shared" si="51"/>
        <v>5.9399999999999995</v>
      </c>
      <c r="CR112">
        <f t="shared" si="51"/>
        <v>5.9399999999999995</v>
      </c>
      <c r="CS112">
        <f t="shared" si="51"/>
        <v>5.9399999999999995</v>
      </c>
      <c r="CY112" s="33" t="s">
        <v>172</v>
      </c>
      <c r="CZ112">
        <f>$CZ$101/10</f>
        <v>3.9935483870967743</v>
      </c>
      <c r="DA112">
        <f t="shared" ref="DA112:DI112" si="52">$CZ$101/10</f>
        <v>3.9935483870967743</v>
      </c>
      <c r="DB112">
        <f t="shared" si="52"/>
        <v>3.9935483870967743</v>
      </c>
      <c r="DC112">
        <f t="shared" si="52"/>
        <v>3.9935483870967743</v>
      </c>
      <c r="DD112">
        <f t="shared" si="52"/>
        <v>3.9935483870967743</v>
      </c>
      <c r="DE112">
        <f t="shared" si="52"/>
        <v>3.9935483870967743</v>
      </c>
      <c r="DF112">
        <f t="shared" si="52"/>
        <v>3.9935483870967743</v>
      </c>
      <c r="DG112">
        <f t="shared" si="52"/>
        <v>3.9935483870967743</v>
      </c>
      <c r="DH112">
        <f t="shared" si="52"/>
        <v>3.9935483870967743</v>
      </c>
      <c r="DI112">
        <f t="shared" si="52"/>
        <v>3.9935483870967743</v>
      </c>
      <c r="DM112" s="33" t="s">
        <v>172</v>
      </c>
      <c r="DN112">
        <v>0</v>
      </c>
      <c r="DO112">
        <v>0</v>
      </c>
      <c r="DP112">
        <v>0</v>
      </c>
      <c r="DQ112">
        <v>0</v>
      </c>
      <c r="DR112">
        <v>0</v>
      </c>
      <c r="DS112">
        <v>0</v>
      </c>
      <c r="DT112">
        <v>0</v>
      </c>
      <c r="DU112">
        <v>0</v>
      </c>
      <c r="DV112">
        <v>0</v>
      </c>
      <c r="DW112">
        <v>0</v>
      </c>
    </row>
    <row r="113" spans="67:127" x14ac:dyDescent="0.35">
      <c r="BO113" s="33" t="s">
        <v>170</v>
      </c>
      <c r="BP113">
        <v>0</v>
      </c>
      <c r="BQ113">
        <v>0</v>
      </c>
      <c r="BR113">
        <v>0</v>
      </c>
      <c r="BS113">
        <v>0</v>
      </c>
      <c r="BT113">
        <v>0</v>
      </c>
      <c r="BU113">
        <v>0</v>
      </c>
      <c r="BV113">
        <v>0</v>
      </c>
      <c r="BW113">
        <v>0</v>
      </c>
      <c r="BX113">
        <v>0</v>
      </c>
      <c r="BY113">
        <v>0</v>
      </c>
      <c r="CI113" s="33" t="s">
        <v>170</v>
      </c>
      <c r="CJ113">
        <v>0</v>
      </c>
      <c r="CK113">
        <v>0</v>
      </c>
      <c r="CL113">
        <v>0</v>
      </c>
      <c r="CM113">
        <v>0</v>
      </c>
      <c r="CN113">
        <v>0</v>
      </c>
      <c r="CO113">
        <v>0</v>
      </c>
      <c r="CP113">
        <v>0</v>
      </c>
      <c r="CQ113">
        <v>0</v>
      </c>
      <c r="CR113">
        <v>0</v>
      </c>
      <c r="CS113">
        <v>0</v>
      </c>
      <c r="CY113" s="33" t="s">
        <v>170</v>
      </c>
      <c r="CZ113">
        <v>0</v>
      </c>
      <c r="DA113">
        <v>0</v>
      </c>
      <c r="DB113">
        <v>0</v>
      </c>
      <c r="DC113">
        <v>0</v>
      </c>
      <c r="DD113">
        <v>0</v>
      </c>
      <c r="DE113">
        <v>0</v>
      </c>
      <c r="DF113">
        <v>0</v>
      </c>
      <c r="DG113">
        <v>0</v>
      </c>
      <c r="DH113">
        <v>0</v>
      </c>
      <c r="DI113">
        <v>0</v>
      </c>
      <c r="DM113" s="33" t="s">
        <v>170</v>
      </c>
      <c r="DN113">
        <v>0</v>
      </c>
      <c r="DO113">
        <v>0</v>
      </c>
      <c r="DP113">
        <v>0</v>
      </c>
      <c r="DQ113">
        <v>0</v>
      </c>
      <c r="DR113">
        <v>0</v>
      </c>
      <c r="DS113">
        <v>0</v>
      </c>
      <c r="DT113">
        <v>0</v>
      </c>
      <c r="DU113">
        <v>0</v>
      </c>
      <c r="DV113">
        <v>0</v>
      </c>
      <c r="DW113">
        <v>0</v>
      </c>
    </row>
    <row r="114" spans="67:127" x14ac:dyDescent="0.35">
      <c r="BO114" s="33"/>
      <c r="CI114" s="33"/>
      <c r="CY114" s="33"/>
      <c r="DM114" s="33"/>
    </row>
    <row r="115" spans="67:127" x14ac:dyDescent="0.35">
      <c r="BO115" s="33" t="s">
        <v>194</v>
      </c>
      <c r="BP115">
        <f t="shared" ref="BP115:BY115" si="53">BP109+BP111+BP112+BP113</f>
        <v>1371.5419434322744</v>
      </c>
      <c r="BQ115">
        <f t="shared" si="53"/>
        <v>1312.9692620003493</v>
      </c>
      <c r="BR115">
        <f t="shared" si="53"/>
        <v>2047.9156322195463</v>
      </c>
      <c r="BS115">
        <f t="shared" si="53"/>
        <v>1456.3996838207242</v>
      </c>
      <c r="BT115">
        <f t="shared" si="53"/>
        <v>2205.1356385217805</v>
      </c>
      <c r="BU115">
        <f t="shared" si="53"/>
        <v>1556.4246460666377</v>
      </c>
      <c r="BV115">
        <f t="shared" si="53"/>
        <v>1512.9228380926613</v>
      </c>
      <c r="BW115">
        <f t="shared" si="53"/>
        <v>2168.7700039428996</v>
      </c>
      <c r="BX115">
        <f t="shared" si="53"/>
        <v>1401.9273813113391</v>
      </c>
      <c r="BY115">
        <f t="shared" si="53"/>
        <v>1991.4123254304948</v>
      </c>
      <c r="CI115" s="33" t="s">
        <v>194</v>
      </c>
      <c r="CJ115">
        <f t="shared" ref="CJ115:CS115" si="54">CJ109+CJ111+CJ112+CJ113</f>
        <v>1208.9560729784919</v>
      </c>
      <c r="CK115">
        <f t="shared" si="54"/>
        <v>1244.4511496076643</v>
      </c>
      <c r="CL115">
        <f t="shared" si="54"/>
        <v>1984.5093190822931</v>
      </c>
      <c r="CM115">
        <f t="shared" si="54"/>
        <v>1424.2930161197798</v>
      </c>
      <c r="CN115">
        <f t="shared" si="54"/>
        <v>2182.0012243342435</v>
      </c>
      <c r="CO115">
        <f t="shared" si="54"/>
        <v>1445.4866285588409</v>
      </c>
      <c r="CP115">
        <f t="shared" si="54"/>
        <v>1486.0151951093064</v>
      </c>
      <c r="CQ115">
        <f t="shared" si="54"/>
        <v>2106.6098329165552</v>
      </c>
      <c r="CR115">
        <f t="shared" si="54"/>
        <v>1295.4135178818797</v>
      </c>
      <c r="CS115">
        <f t="shared" si="54"/>
        <v>1838.6640434109447</v>
      </c>
      <c r="CY115" s="33" t="s">
        <v>194</v>
      </c>
      <c r="CZ115">
        <f t="shared" ref="CZ115:DI115" si="55">CZ109+CZ111+CZ112+CZ113</f>
        <v>539.16507865250594</v>
      </c>
      <c r="DA115">
        <f t="shared" si="55"/>
        <v>531.88687082056458</v>
      </c>
      <c r="DB115">
        <f t="shared" si="55"/>
        <v>814.33931050119475</v>
      </c>
      <c r="DC115">
        <f t="shared" si="55"/>
        <v>603.02297055339579</v>
      </c>
      <c r="DD115">
        <f t="shared" si="55"/>
        <v>985.01976619124548</v>
      </c>
      <c r="DE115">
        <f t="shared" si="55"/>
        <v>690.67892756122137</v>
      </c>
      <c r="DF115">
        <f t="shared" si="55"/>
        <v>687.68151492612901</v>
      </c>
      <c r="DG115">
        <f t="shared" si="55"/>
        <v>918.08405458753816</v>
      </c>
      <c r="DH115">
        <f t="shared" si="55"/>
        <v>549.37965138114498</v>
      </c>
      <c r="DI115">
        <f t="shared" si="55"/>
        <v>837.80637095409156</v>
      </c>
      <c r="DM115" s="33" t="s">
        <v>194</v>
      </c>
      <c r="DN115">
        <f t="shared" ref="DN115:DW115" si="56">DN109+DN111+DN112+DN113</f>
        <v>419.08522449463351</v>
      </c>
      <c r="DO115">
        <f t="shared" si="56"/>
        <v>445.84829846095602</v>
      </c>
      <c r="DP115">
        <f t="shared" si="56"/>
        <v>676.76621386400609</v>
      </c>
      <c r="DQ115">
        <f t="shared" si="56"/>
        <v>472.05226684088649</v>
      </c>
      <c r="DR115">
        <f t="shared" si="56"/>
        <v>810.91271720335612</v>
      </c>
      <c r="DS115">
        <f t="shared" si="56"/>
        <v>561.45093838853552</v>
      </c>
      <c r="DT115">
        <f t="shared" si="56"/>
        <v>531.17549958487461</v>
      </c>
      <c r="DU115">
        <f t="shared" si="56"/>
        <v>701.3994562959632</v>
      </c>
      <c r="DV115">
        <f t="shared" si="56"/>
        <v>405.03978296240729</v>
      </c>
      <c r="DW115">
        <f t="shared" si="56"/>
        <v>581.36637609793002</v>
      </c>
    </row>
    <row r="149" spans="66:141" x14ac:dyDescent="0.35">
      <c r="DM149" t="s">
        <v>349</v>
      </c>
    </row>
    <row r="150" spans="66:141" ht="15" thickBot="1" x14ac:dyDescent="0.4"/>
    <row r="151" spans="66:141" x14ac:dyDescent="0.35">
      <c r="BN151" s="29" t="s">
        <v>187</v>
      </c>
      <c r="CH151" s="29" t="s">
        <v>191</v>
      </c>
      <c r="CX151" s="29" t="s">
        <v>193</v>
      </c>
      <c r="DL151" s="29" t="s">
        <v>195</v>
      </c>
      <c r="EA151" s="31"/>
      <c r="EB151" s="32">
        <v>0</v>
      </c>
      <c r="EC151" s="32">
        <v>2.4</v>
      </c>
      <c r="ED151" s="32">
        <v>4.8</v>
      </c>
      <c r="EE151" s="32">
        <v>7.1999999999999993</v>
      </c>
      <c r="EF151" s="32">
        <v>9.6</v>
      </c>
      <c r="EG151" s="32">
        <v>12</v>
      </c>
      <c r="EH151" s="32">
        <v>14.399999999999999</v>
      </c>
      <c r="EI151" s="32">
        <v>16.8</v>
      </c>
      <c r="EJ151" s="32">
        <v>19.2</v>
      </c>
      <c r="EK151" s="3">
        <v>21.599999999999998</v>
      </c>
    </row>
    <row r="152" spans="66:141" x14ac:dyDescent="0.35">
      <c r="EA152" s="33"/>
      <c r="EB152" t="s">
        <v>154</v>
      </c>
      <c r="EC152" t="s">
        <v>155</v>
      </c>
      <c r="ED152" t="s">
        <v>156</v>
      </c>
      <c r="EE152" t="s">
        <v>157</v>
      </c>
      <c r="EF152" t="s">
        <v>158</v>
      </c>
      <c r="EG152" t="s">
        <v>159</v>
      </c>
      <c r="EH152" t="s">
        <v>160</v>
      </c>
      <c r="EI152" t="s">
        <v>161</v>
      </c>
      <c r="EJ152" t="s">
        <v>162</v>
      </c>
      <c r="EK152" s="14" t="s">
        <v>163</v>
      </c>
    </row>
    <row r="153" spans="66:141" x14ac:dyDescent="0.35">
      <c r="EA153" s="33"/>
      <c r="EB153">
        <f>EI164</f>
        <v>8.5188467126581374E-2</v>
      </c>
      <c r="EC153">
        <f>EI165</f>
        <v>8.4732675526470222E-2</v>
      </c>
      <c r="ED153">
        <f>EI166</f>
        <v>0.12338042888359996</v>
      </c>
      <c r="EE153">
        <f>EI167</f>
        <v>8.1496892606788524E-2</v>
      </c>
      <c r="EF153">
        <f>EI168</f>
        <v>0.12624631154600685</v>
      </c>
      <c r="EG153">
        <f>EI169</f>
        <v>8.2030742762823447E-2</v>
      </c>
      <c r="EH153">
        <f>EI170</f>
        <v>8.0060034858495138E-2</v>
      </c>
      <c r="EI153">
        <f>EI171</f>
        <v>0.1226194256697819</v>
      </c>
      <c r="EJ153">
        <f>EI172</f>
        <v>8.437749567074633E-2</v>
      </c>
      <c r="EK153">
        <f>EI173</f>
        <v>0.12986752534870591</v>
      </c>
    </row>
    <row r="154" spans="66:141" x14ac:dyDescent="0.35">
      <c r="EA154" s="33"/>
      <c r="EB154">
        <f>EK164</f>
        <v>0.15642529419363316</v>
      </c>
      <c r="EC154">
        <f>EK165</f>
        <v>7.9415938619295204E-2</v>
      </c>
      <c r="ED154">
        <f>EK166</f>
        <v>6.5652085700831347E-3</v>
      </c>
      <c r="EE154">
        <f>EK167</f>
        <v>1.9305791028142759E-3</v>
      </c>
      <c r="EF154">
        <f>EK168</f>
        <v>0.1066893659640136</v>
      </c>
      <c r="EG154">
        <f>EK169</f>
        <v>0.10332528005441935</v>
      </c>
      <c r="EH154">
        <f>EK170</f>
        <v>0.12959136449146366</v>
      </c>
      <c r="EI154">
        <f>EK171</f>
        <v>0.12095648928983499</v>
      </c>
      <c r="EJ154">
        <f>EK172</f>
        <v>7.9680550770898084E-2</v>
      </c>
      <c r="EK154">
        <f>EK173</f>
        <v>0.21541992894354434</v>
      </c>
    </row>
    <row r="155" spans="66:141" x14ac:dyDescent="0.35">
      <c r="EA155" s="33"/>
      <c r="EK155" s="14"/>
    </row>
    <row r="156" spans="66:141" x14ac:dyDescent="0.35">
      <c r="EA156" s="33"/>
      <c r="EK156" s="14"/>
    </row>
    <row r="157" spans="66:141" x14ac:dyDescent="0.35">
      <c r="EA157" s="33"/>
      <c r="EK157" s="14"/>
    </row>
    <row r="158" spans="66:141" x14ac:dyDescent="0.35">
      <c r="EA158" s="33"/>
      <c r="EK158" s="14"/>
    </row>
    <row r="159" spans="66:141" x14ac:dyDescent="0.35">
      <c r="EA159" s="33"/>
      <c r="EK159" s="14"/>
    </row>
    <row r="160" spans="66:141" x14ac:dyDescent="0.35">
      <c r="BO160" t="s">
        <v>181</v>
      </c>
      <c r="BP160">
        <f>BF43/30</f>
        <v>139969.5</v>
      </c>
      <c r="EA160" s="33"/>
      <c r="EK160" s="14"/>
    </row>
    <row r="161" spans="67:141" x14ac:dyDescent="0.35">
      <c r="BO161" t="s">
        <v>201</v>
      </c>
      <c r="BP161">
        <f>BF6/30</f>
        <v>13570</v>
      </c>
      <c r="CI161" t="s">
        <v>181</v>
      </c>
      <c r="CJ161">
        <f>BG43/31</f>
        <v>127022.83870967742</v>
      </c>
      <c r="CY161" t="s">
        <v>181</v>
      </c>
      <c r="CZ161">
        <f>BH43/30</f>
        <v>124433.60000000001</v>
      </c>
      <c r="DM161" t="s">
        <v>181</v>
      </c>
      <c r="DN161">
        <f>BI43/31</f>
        <v>115096.96774193548</v>
      </c>
      <c r="EA161" s="33"/>
      <c r="EK161" s="14"/>
    </row>
    <row r="162" spans="67:141" x14ac:dyDescent="0.35">
      <c r="BO162" t="s">
        <v>93</v>
      </c>
      <c r="BP162">
        <f>BF15/30</f>
        <v>99.13333333333334</v>
      </c>
      <c r="CI162" t="s">
        <v>201</v>
      </c>
      <c r="CJ162">
        <f>BG6/31</f>
        <v>16152.193548387097</v>
      </c>
      <c r="CY162" t="s">
        <v>201</v>
      </c>
      <c r="CZ162">
        <f>BH6/30</f>
        <v>15785.233333333334</v>
      </c>
      <c r="DM162" t="s">
        <v>201</v>
      </c>
      <c r="DN162">
        <f>BI6/31</f>
        <v>20242.741935483871</v>
      </c>
      <c r="EA162" s="33"/>
      <c r="EK162" s="14"/>
    </row>
    <row r="163" spans="67:141" x14ac:dyDescent="0.35">
      <c r="BO163" t="s">
        <v>170</v>
      </c>
      <c r="BP163">
        <v>0</v>
      </c>
      <c r="CI163" t="s">
        <v>93</v>
      </c>
      <c r="CJ163">
        <f>BG15/31</f>
        <v>85.709677419354833</v>
      </c>
      <c r="CY163" t="s">
        <v>93</v>
      </c>
      <c r="CZ163">
        <f>BH15/30</f>
        <v>55.766666666666666</v>
      </c>
      <c r="DM163" t="s">
        <v>93</v>
      </c>
      <c r="DN163">
        <f>BI15/31</f>
        <v>47.387096774193552</v>
      </c>
      <c r="EA163" s="33"/>
      <c r="EB163" t="s">
        <v>350</v>
      </c>
      <c r="EC163" t="s">
        <v>351</v>
      </c>
      <c r="ED163" t="s">
        <v>203</v>
      </c>
      <c r="EE163" t="s">
        <v>351</v>
      </c>
      <c r="EK163" s="14"/>
    </row>
    <row r="164" spans="67:141" x14ac:dyDescent="0.35">
      <c r="BO164" t="s">
        <v>172</v>
      </c>
      <c r="BP164">
        <f>BF10/30</f>
        <v>91.466666666666669</v>
      </c>
      <c r="CI164" t="s">
        <v>170</v>
      </c>
      <c r="CJ164">
        <v>0</v>
      </c>
      <c r="CY164" t="s">
        <v>170</v>
      </c>
      <c r="CZ164">
        <v>0</v>
      </c>
      <c r="DM164" t="s">
        <v>170</v>
      </c>
      <c r="DN164">
        <v>0</v>
      </c>
      <c r="EA164" s="41">
        <v>0</v>
      </c>
      <c r="EB164">
        <v>26.522785710000001</v>
      </c>
      <c r="EC164">
        <f t="shared" ref="EC164:EC187" si="57">EB164/$EB$188</f>
        <v>4.1788664072113534E-2</v>
      </c>
      <c r="ED164">
        <v>86.080476189999999</v>
      </c>
      <c r="EE164">
        <f t="shared" ref="EE164:EE187" si="58">ED164/$ED$188</f>
        <v>7.5322690078146917E-2</v>
      </c>
      <c r="EG164">
        <v>0</v>
      </c>
      <c r="EH164" t="s">
        <v>154</v>
      </c>
      <c r="EI164">
        <f>SUM(EC164:EC165)</f>
        <v>8.5188467126581374E-2</v>
      </c>
      <c r="EK164">
        <f>SUM(EE164:EE165)</f>
        <v>0.15642529419363316</v>
      </c>
    </row>
    <row r="165" spans="67:141" x14ac:dyDescent="0.35">
      <c r="CI165" t="s">
        <v>172</v>
      </c>
      <c r="CJ165">
        <f>BG10/31</f>
        <v>396.77419354838707</v>
      </c>
      <c r="CY165" t="s">
        <v>172</v>
      </c>
      <c r="CZ165">
        <f>BH10/30</f>
        <v>920.13333333333333</v>
      </c>
      <c r="DM165" t="s">
        <v>172</v>
      </c>
      <c r="DN165">
        <f>BI10/31</f>
        <v>1204.8387096774193</v>
      </c>
      <c r="EA165" s="41">
        <v>4.1666666666666664E-2</v>
      </c>
      <c r="EB165">
        <v>27.54535714</v>
      </c>
      <c r="EC165">
        <f t="shared" si="57"/>
        <v>4.3399803054467841E-2</v>
      </c>
      <c r="ED165">
        <v>92.685892859999996</v>
      </c>
      <c r="EE165">
        <f t="shared" si="58"/>
        <v>8.110260411548624E-2</v>
      </c>
      <c r="EG165">
        <v>2.4</v>
      </c>
      <c r="EH165" t="s">
        <v>155</v>
      </c>
      <c r="EI165">
        <f>SUM(EC166:EC167)</f>
        <v>8.4732675526470222E-2</v>
      </c>
      <c r="EK165">
        <f>SUM(EE166:EE167)</f>
        <v>7.9415938619295204E-2</v>
      </c>
    </row>
    <row r="166" spans="67:141" x14ac:dyDescent="0.35">
      <c r="EA166" s="41">
        <v>8.3333333333333301E-2</v>
      </c>
      <c r="EB166">
        <v>27.465642859999999</v>
      </c>
      <c r="EC166">
        <f t="shared" si="57"/>
        <v>4.3274207149682678E-2</v>
      </c>
      <c r="ED166">
        <v>58.889761900000003</v>
      </c>
      <c r="EE166">
        <f t="shared" si="58"/>
        <v>5.153009695925527E-2</v>
      </c>
      <c r="EG166">
        <v>4.8</v>
      </c>
      <c r="EH166" t="s">
        <v>156</v>
      </c>
      <c r="EI166">
        <f>SUM(EC168:EC170)</f>
        <v>0.12338042888359996</v>
      </c>
      <c r="EK166">
        <f>SUM(EE168:EE170)</f>
        <v>6.5652085700831347E-3</v>
      </c>
    </row>
    <row r="167" spans="67:141" x14ac:dyDescent="0.35">
      <c r="EA167" s="41">
        <v>0.125</v>
      </c>
      <c r="EB167">
        <v>26.313214290000001</v>
      </c>
      <c r="EC167">
        <f t="shared" si="57"/>
        <v>4.1458468376787544E-2</v>
      </c>
      <c r="ED167">
        <v>31.868571429999999</v>
      </c>
      <c r="EE167">
        <f t="shared" si="58"/>
        <v>2.788584166003993E-2</v>
      </c>
      <c r="EG167">
        <v>7.1999999999999993</v>
      </c>
      <c r="EH167" t="s">
        <v>157</v>
      </c>
      <c r="EI167">
        <f>SUM(EC171:EC172)</f>
        <v>8.1496892606788524E-2</v>
      </c>
      <c r="EK167">
        <f>SUM(EE171:EE172)</f>
        <v>1.9305791028142759E-3</v>
      </c>
    </row>
    <row r="168" spans="67:141" x14ac:dyDescent="0.35">
      <c r="BO168" s="33"/>
      <c r="BP168" t="s">
        <v>154</v>
      </c>
      <c r="BQ168" t="s">
        <v>155</v>
      </c>
      <c r="BR168" t="s">
        <v>156</v>
      </c>
      <c r="BS168" t="s">
        <v>157</v>
      </c>
      <c r="BT168" t="s">
        <v>158</v>
      </c>
      <c r="BU168" t="s">
        <v>159</v>
      </c>
      <c r="BV168" t="s">
        <v>160</v>
      </c>
      <c r="BW168" t="s">
        <v>161</v>
      </c>
      <c r="BX168" t="s">
        <v>162</v>
      </c>
      <c r="BY168" t="s">
        <v>163</v>
      </c>
      <c r="CI168" s="33"/>
      <c r="CJ168" t="s">
        <v>154</v>
      </c>
      <c r="CK168" t="s">
        <v>155</v>
      </c>
      <c r="CL168" t="s">
        <v>156</v>
      </c>
      <c r="CM168" t="s">
        <v>157</v>
      </c>
      <c r="CN168" t="s">
        <v>158</v>
      </c>
      <c r="CO168" t="s">
        <v>159</v>
      </c>
      <c r="CP168" t="s">
        <v>160</v>
      </c>
      <c r="CQ168" t="s">
        <v>161</v>
      </c>
      <c r="CR168" t="s">
        <v>162</v>
      </c>
      <c r="CS168" t="s">
        <v>163</v>
      </c>
      <c r="CY168" s="33"/>
      <c r="CZ168" t="s">
        <v>154</v>
      </c>
      <c r="DA168" t="s">
        <v>155</v>
      </c>
      <c r="DB168" t="s">
        <v>156</v>
      </c>
      <c r="DC168" t="s">
        <v>157</v>
      </c>
      <c r="DD168" t="s">
        <v>158</v>
      </c>
      <c r="DE168" t="s">
        <v>159</v>
      </c>
      <c r="DF168" t="s">
        <v>160</v>
      </c>
      <c r="DG168" t="s">
        <v>161</v>
      </c>
      <c r="DH168" t="s">
        <v>162</v>
      </c>
      <c r="DI168" t="s">
        <v>163</v>
      </c>
      <c r="DM168" s="33"/>
      <c r="DN168" t="s">
        <v>154</v>
      </c>
      <c r="DO168" t="s">
        <v>155</v>
      </c>
      <c r="DP168" t="s">
        <v>156</v>
      </c>
      <c r="DQ168" t="s">
        <v>157</v>
      </c>
      <c r="DR168" t="s">
        <v>158</v>
      </c>
      <c r="DS168" t="s">
        <v>159</v>
      </c>
      <c r="DT168" t="s">
        <v>160</v>
      </c>
      <c r="DU168" t="s">
        <v>161</v>
      </c>
      <c r="DV168" t="s">
        <v>162</v>
      </c>
      <c r="DW168" t="s">
        <v>163</v>
      </c>
      <c r="EA168" s="41">
        <v>0.16666666666666699</v>
      </c>
      <c r="EB168">
        <v>26.110714290000001</v>
      </c>
      <c r="EC168">
        <f t="shared" si="57"/>
        <v>4.1139414240953971E-2</v>
      </c>
      <c r="ED168">
        <v>7.373934524</v>
      </c>
      <c r="EE168">
        <f t="shared" si="58"/>
        <v>6.4523874563826317E-3</v>
      </c>
      <c r="EG168">
        <v>9.6</v>
      </c>
      <c r="EH168" t="s">
        <v>158</v>
      </c>
      <c r="EI168">
        <f>SUM(EC173:EC175)</f>
        <v>0.12624631154600685</v>
      </c>
      <c r="EK168">
        <f>SUM(EE173:EE175)</f>
        <v>0.1066893659640136</v>
      </c>
    </row>
    <row r="169" spans="67:141" x14ac:dyDescent="0.35">
      <c r="BO169" s="33" t="s">
        <v>181</v>
      </c>
      <c r="BP169">
        <v>9.1603053435114504E-2</v>
      </c>
      <c r="BQ169">
        <v>8.3969465648854963E-2</v>
      </c>
      <c r="BR169">
        <v>7.6335877862595422E-2</v>
      </c>
      <c r="BS169">
        <v>8.3969465648854963E-2</v>
      </c>
      <c r="BT169">
        <v>9.9236641221374045E-2</v>
      </c>
      <c r="BU169">
        <v>0.11450381679389313</v>
      </c>
      <c r="BV169">
        <v>0.11450381679389313</v>
      </c>
      <c r="BW169">
        <v>0.11450381679389313</v>
      </c>
      <c r="BX169">
        <v>0.10687022900763359</v>
      </c>
      <c r="BY169">
        <v>0.11450381679389313</v>
      </c>
      <c r="CI169" s="33" t="s">
        <v>181</v>
      </c>
      <c r="CJ169">
        <v>9.0163934426229511E-2</v>
      </c>
      <c r="CK169">
        <v>8.1967213114754092E-2</v>
      </c>
      <c r="CL169">
        <v>8.1967213114754092E-2</v>
      </c>
      <c r="CM169">
        <v>8.1967213114754092E-2</v>
      </c>
      <c r="CN169">
        <v>9.8360655737704916E-2</v>
      </c>
      <c r="CO169">
        <v>0.11475409836065574</v>
      </c>
      <c r="CP169">
        <v>0.11475409836065574</v>
      </c>
      <c r="CQ169">
        <v>9.8360655737704916E-2</v>
      </c>
      <c r="CR169">
        <v>0.12295081967213115</v>
      </c>
      <c r="CS169">
        <v>0.11475409836065574</v>
      </c>
      <c r="CY169" s="33" t="s">
        <v>181</v>
      </c>
      <c r="CZ169">
        <v>8.4745762711864403E-2</v>
      </c>
      <c r="DA169">
        <v>7.6271186440677971E-2</v>
      </c>
      <c r="DB169">
        <v>7.6271186440677971E-2</v>
      </c>
      <c r="DC169">
        <v>8.4745762711864403E-2</v>
      </c>
      <c r="DD169">
        <v>0.10169491525423729</v>
      </c>
      <c r="DE169">
        <v>0.11016949152542373</v>
      </c>
      <c r="DF169">
        <v>0.11016949152542373</v>
      </c>
      <c r="DG169">
        <v>0.10169491525423729</v>
      </c>
      <c r="DH169">
        <v>0.1271186440677966</v>
      </c>
      <c r="DI169">
        <v>0.1271186440677966</v>
      </c>
      <c r="DM169" s="33" t="s">
        <v>181</v>
      </c>
      <c r="DN169">
        <v>9.6296296296296297E-2</v>
      </c>
      <c r="DO169">
        <v>8.1481481481481488E-2</v>
      </c>
      <c r="DP169">
        <v>7.407407407407407E-2</v>
      </c>
      <c r="DQ169">
        <v>8.1481481481481488E-2</v>
      </c>
      <c r="DR169">
        <v>9.6296296296296297E-2</v>
      </c>
      <c r="DS169">
        <v>0.1</v>
      </c>
      <c r="DT169">
        <v>0.1</v>
      </c>
      <c r="DU169">
        <v>0.1037037037037037</v>
      </c>
      <c r="DV169">
        <v>0.13333333333333333</v>
      </c>
      <c r="DW169">
        <v>0.13333333333333333</v>
      </c>
      <c r="EA169" s="41">
        <v>0.20833333333333301</v>
      </c>
      <c r="EB169">
        <v>26.194500000000001</v>
      </c>
      <c r="EC169">
        <f t="shared" si="57"/>
        <v>4.1271424993049047E-2</v>
      </c>
      <c r="ED169">
        <v>0.12893452399999999</v>
      </c>
      <c r="EE169">
        <f t="shared" si="58"/>
        <v>1.1282111370050258E-4</v>
      </c>
      <c r="EG169">
        <v>12</v>
      </c>
      <c r="EH169" t="s">
        <v>159</v>
      </c>
      <c r="EI169">
        <f>SUM(EC176:EC177)</f>
        <v>8.2030742762823447E-2</v>
      </c>
      <c r="EK169">
        <f>SUM(EE176:EE177)</f>
        <v>0.10332528005441935</v>
      </c>
    </row>
    <row r="170" spans="67:141" x14ac:dyDescent="0.35">
      <c r="BO170" s="33" t="s">
        <v>181</v>
      </c>
      <c r="BP170">
        <f>$BP$160*BP169</f>
        <v>12821.63358778626</v>
      </c>
      <c r="BQ170">
        <f t="shared" ref="BQ170:BY170" si="59">$BP$160*BQ169</f>
        <v>11753.164122137405</v>
      </c>
      <c r="BR170">
        <f t="shared" si="59"/>
        <v>10684.694656488549</v>
      </c>
      <c r="BS170">
        <f t="shared" si="59"/>
        <v>11753.164122137405</v>
      </c>
      <c r="BT170">
        <f t="shared" si="59"/>
        <v>13890.103053435114</v>
      </c>
      <c r="BU170">
        <f t="shared" si="59"/>
        <v>16027.041984732823</v>
      </c>
      <c r="BV170">
        <f t="shared" si="59"/>
        <v>16027.041984732823</v>
      </c>
      <c r="BW170">
        <f t="shared" si="59"/>
        <v>16027.041984732823</v>
      </c>
      <c r="BX170">
        <f t="shared" si="59"/>
        <v>14958.572519083969</v>
      </c>
      <c r="BY170">
        <f t="shared" si="59"/>
        <v>16027.041984732823</v>
      </c>
      <c r="CI170" s="33" t="s">
        <v>181</v>
      </c>
      <c r="CJ170">
        <f>$CJ$161*CJ169</f>
        <v>11452.878900052883</v>
      </c>
      <c r="CK170">
        <f t="shared" ref="CK170:CS170" si="60">$CJ$161*CK169</f>
        <v>10411.708090957165</v>
      </c>
      <c r="CL170">
        <f t="shared" si="60"/>
        <v>10411.708090957165</v>
      </c>
      <c r="CM170">
        <f t="shared" si="60"/>
        <v>10411.708090957165</v>
      </c>
      <c r="CN170">
        <f t="shared" si="60"/>
        <v>12494.0497091486</v>
      </c>
      <c r="CO170">
        <f t="shared" si="60"/>
        <v>14576.391327340032</v>
      </c>
      <c r="CP170">
        <f t="shared" si="60"/>
        <v>14576.391327340032</v>
      </c>
      <c r="CQ170">
        <f t="shared" si="60"/>
        <v>12494.0497091486</v>
      </c>
      <c r="CR170">
        <f t="shared" si="60"/>
        <v>15617.562136435748</v>
      </c>
      <c r="CS170">
        <f t="shared" si="60"/>
        <v>14576.391327340032</v>
      </c>
      <c r="CY170" s="33" t="s">
        <v>181</v>
      </c>
      <c r="CZ170">
        <f>$CZ$161*CZ169</f>
        <v>10545.22033898305</v>
      </c>
      <c r="DA170">
        <f t="shared" ref="DA170:DI170" si="61">$CZ$161*DA169</f>
        <v>9490.6983050847466</v>
      </c>
      <c r="DB170">
        <f t="shared" si="61"/>
        <v>9490.6983050847466</v>
      </c>
      <c r="DC170">
        <f t="shared" si="61"/>
        <v>10545.22033898305</v>
      </c>
      <c r="DD170">
        <f t="shared" si="61"/>
        <v>12654.264406779663</v>
      </c>
      <c r="DE170">
        <f t="shared" si="61"/>
        <v>13708.786440677966</v>
      </c>
      <c r="DF170">
        <f t="shared" si="61"/>
        <v>13708.786440677966</v>
      </c>
      <c r="DG170">
        <f t="shared" si="61"/>
        <v>12654.264406779663</v>
      </c>
      <c r="DH170">
        <f t="shared" si="61"/>
        <v>15817.830508474577</v>
      </c>
      <c r="DI170">
        <f t="shared" si="61"/>
        <v>15817.830508474577</v>
      </c>
      <c r="DM170" s="33" t="s">
        <v>181</v>
      </c>
      <c r="DN170">
        <f>$DN$161*DN169</f>
        <v>11083.411708482676</v>
      </c>
      <c r="DO170">
        <f t="shared" ref="DO170:DW170" si="62">$DN$161*DO169</f>
        <v>9378.2714456391877</v>
      </c>
      <c r="DP170">
        <f t="shared" si="62"/>
        <v>8525.7013142174437</v>
      </c>
      <c r="DQ170">
        <f t="shared" si="62"/>
        <v>9378.2714456391877</v>
      </c>
      <c r="DR170">
        <f t="shared" si="62"/>
        <v>11083.411708482676</v>
      </c>
      <c r="DS170">
        <f t="shared" si="62"/>
        <v>11509.69677419355</v>
      </c>
      <c r="DT170">
        <f t="shared" si="62"/>
        <v>11509.69677419355</v>
      </c>
      <c r="DU170">
        <f t="shared" si="62"/>
        <v>11935.98183990442</v>
      </c>
      <c r="DV170">
        <f t="shared" si="62"/>
        <v>15346.262365591398</v>
      </c>
      <c r="DW170">
        <f t="shared" si="62"/>
        <v>15346.262365591398</v>
      </c>
      <c r="EA170" s="41">
        <v>0.25</v>
      </c>
      <c r="EB170">
        <v>26.002928570000002</v>
      </c>
      <c r="EC170">
        <f t="shared" si="57"/>
        <v>4.0969589649596939E-2</v>
      </c>
      <c r="ED170">
        <v>0</v>
      </c>
      <c r="EE170">
        <f t="shared" si="58"/>
        <v>0</v>
      </c>
      <c r="EG170">
        <v>14.399999999999999</v>
      </c>
      <c r="EH170" t="s">
        <v>160</v>
      </c>
      <c r="EI170">
        <f>SUM(EC178:EC179)</f>
        <v>8.0060034858495138E-2</v>
      </c>
      <c r="EK170">
        <f>SUM(EE178:EE179)</f>
        <v>0.12959136449146366</v>
      </c>
    </row>
    <row r="171" spans="67:141" x14ac:dyDescent="0.35">
      <c r="BO171" s="33" t="s">
        <v>184</v>
      </c>
      <c r="BP171">
        <v>8.2166478306888086E-2</v>
      </c>
      <c r="BQ171">
        <v>8.2523685847464778E-2</v>
      </c>
      <c r="BR171">
        <v>0.12229905314903303</v>
      </c>
      <c r="BS171">
        <v>8.4691462796454134E-2</v>
      </c>
      <c r="BT171">
        <v>0.12801340224556593</v>
      </c>
      <c r="BU171">
        <v>8.5219744573938938E-2</v>
      </c>
      <c r="BV171">
        <v>8.5068344279088881E-2</v>
      </c>
      <c r="BW171">
        <v>0.12399927036392665</v>
      </c>
      <c r="BX171">
        <v>8.2566596091459707E-2</v>
      </c>
      <c r="BY171">
        <v>0.12345196234617994</v>
      </c>
      <c r="CI171" s="33" t="s">
        <v>184</v>
      </c>
      <c r="CJ171">
        <v>7.9190903195724638E-2</v>
      </c>
      <c r="CK171">
        <v>8.217771849843275E-2</v>
      </c>
      <c r="CL171">
        <v>0.12751874483148512</v>
      </c>
      <c r="CM171">
        <v>9.074772320778049E-2</v>
      </c>
      <c r="CN171">
        <v>0.14444980255961518</v>
      </c>
      <c r="CO171">
        <v>9.5380480897574782E-2</v>
      </c>
      <c r="CP171">
        <v>8.7864936012259698E-2</v>
      </c>
      <c r="CQ171">
        <v>0.11308913745376209</v>
      </c>
      <c r="CR171">
        <v>7.3322643961905354E-2</v>
      </c>
      <c r="CS171">
        <v>0.10625790938145992</v>
      </c>
      <c r="CY171" s="33" t="s">
        <v>184</v>
      </c>
      <c r="CZ171">
        <v>8.5188467139917484E-2</v>
      </c>
      <c r="DA171">
        <v>8.4732675508864444E-2</v>
      </c>
      <c r="DB171">
        <v>0.12338042887891193</v>
      </c>
      <c r="DC171">
        <v>8.1496892614553659E-2</v>
      </c>
      <c r="DD171">
        <v>0.12624631155309213</v>
      </c>
      <c r="DE171">
        <v>8.2030742776770249E-2</v>
      </c>
      <c r="DF171">
        <v>8.0060034837584101E-2</v>
      </c>
      <c r="DG171">
        <v>0.12261942567692226</v>
      </c>
      <c r="DH171">
        <v>8.4377495670589817E-2</v>
      </c>
      <c r="DI171">
        <v>0.12986752534279392</v>
      </c>
      <c r="DM171" s="33" t="s">
        <v>184</v>
      </c>
      <c r="DN171">
        <v>8.5188467126581374E-2</v>
      </c>
      <c r="DO171">
        <v>8.4732675526470222E-2</v>
      </c>
      <c r="DP171">
        <v>0.12338042888359996</v>
      </c>
      <c r="DQ171">
        <v>8.1496892606788524E-2</v>
      </c>
      <c r="DR171">
        <v>0.12624631154600685</v>
      </c>
      <c r="DS171">
        <v>8.2030742762823447E-2</v>
      </c>
      <c r="DT171">
        <v>8.0060034858495138E-2</v>
      </c>
      <c r="DU171">
        <v>0.1226194256697819</v>
      </c>
      <c r="DV171">
        <v>8.437749567074633E-2</v>
      </c>
      <c r="DW171">
        <v>0.12986752534870591</v>
      </c>
      <c r="EA171" s="41">
        <v>0.29166666666666702</v>
      </c>
      <c r="EB171">
        <v>25.877357140000001</v>
      </c>
      <c r="EC171">
        <f t="shared" si="57"/>
        <v>4.077174232078689E-2</v>
      </c>
      <c r="ED171">
        <v>1.952381E-3</v>
      </c>
      <c r="EE171">
        <f t="shared" si="58"/>
        <v>1.7083849379837236E-6</v>
      </c>
      <c r="EG171">
        <v>16.8</v>
      </c>
      <c r="EH171" t="s">
        <v>161</v>
      </c>
      <c r="EI171">
        <f>SUM(EC180:EC182)</f>
        <v>0.1226194256697819</v>
      </c>
      <c r="EK171">
        <f>SUM(EE180:EE182)</f>
        <v>0.12095648928983499</v>
      </c>
    </row>
    <row r="172" spans="67:141" x14ac:dyDescent="0.35">
      <c r="BO172" s="33" t="s">
        <v>185</v>
      </c>
      <c r="BP172">
        <f>$BP$161*BP171</f>
        <v>1114.9991106244713</v>
      </c>
      <c r="BQ172">
        <f t="shared" ref="BQ172:BY172" si="63">$BP$161*BQ171</f>
        <v>1119.8464169500971</v>
      </c>
      <c r="BR172">
        <f t="shared" si="63"/>
        <v>1659.5981512323781</v>
      </c>
      <c r="BS172">
        <f t="shared" si="63"/>
        <v>1149.2631501478827</v>
      </c>
      <c r="BT172">
        <f t="shared" si="63"/>
        <v>1737.1418684723296</v>
      </c>
      <c r="BU172">
        <f t="shared" si="63"/>
        <v>1156.4319338683513</v>
      </c>
      <c r="BV172">
        <f t="shared" si="63"/>
        <v>1154.3774318672361</v>
      </c>
      <c r="BW172">
        <f t="shared" si="63"/>
        <v>1682.6700988384846</v>
      </c>
      <c r="BX172">
        <f t="shared" si="63"/>
        <v>1120.4287089611082</v>
      </c>
      <c r="BY172">
        <f t="shared" si="63"/>
        <v>1675.2431290376619</v>
      </c>
      <c r="CI172" s="33" t="s">
        <v>185</v>
      </c>
      <c r="CJ172">
        <f>$CJ$162*CJ171</f>
        <v>1279.1067956889306</v>
      </c>
      <c r="CK172">
        <f t="shared" ref="CK172:CS172" si="64">$CJ$162*CK171</f>
        <v>1327.3504145515565</v>
      </c>
      <c r="CL172">
        <f t="shared" si="64"/>
        <v>2059.7074475655345</v>
      </c>
      <c r="CM172">
        <f t="shared" si="64"/>
        <v>1465.77478932753</v>
      </c>
      <c r="CN172">
        <f t="shared" si="64"/>
        <v>2333.1811689692063</v>
      </c>
      <c r="CO172">
        <f t="shared" si="64"/>
        <v>1540.6039881958661</v>
      </c>
      <c r="CP172">
        <f t="shared" si="64"/>
        <v>1419.2114525866662</v>
      </c>
      <c r="CQ172">
        <f t="shared" si="64"/>
        <v>1826.6376363733175</v>
      </c>
      <c r="CR172">
        <f t="shared" si="64"/>
        <v>1184.3215367521718</v>
      </c>
      <c r="CS172">
        <f t="shared" si="64"/>
        <v>1716.2983183763176</v>
      </c>
      <c r="CY172" s="33" t="s">
        <v>185</v>
      </c>
      <c r="CZ172">
        <f>$CZ$162*CZ171</f>
        <v>1344.7198311125969</v>
      </c>
      <c r="DA172">
        <f t="shared" ref="DA172:DI172" si="65">$CZ$162*DA171</f>
        <v>1337.5250538650439</v>
      </c>
      <c r="DB172">
        <f t="shared" si="65"/>
        <v>1947.5888586203632</v>
      </c>
      <c r="DC172">
        <f t="shared" si="65"/>
        <v>1286.4474658623396</v>
      </c>
      <c r="DD172">
        <f t="shared" si="65"/>
        <v>1992.827485338255</v>
      </c>
      <c r="DE172">
        <f t="shared" si="65"/>
        <v>1294.8744152379663</v>
      </c>
      <c r="DF172">
        <f t="shared" si="65"/>
        <v>1263.7663305860606</v>
      </c>
      <c r="DG172">
        <f t="shared" si="65"/>
        <v>1935.5762455095426</v>
      </c>
      <c r="DH172">
        <f t="shared" si="65"/>
        <v>1331.9184572425834</v>
      </c>
      <c r="DI172">
        <f t="shared" si="65"/>
        <v>2049.9891899585818</v>
      </c>
      <c r="DM172" s="33" t="s">
        <v>185</v>
      </c>
      <c r="DN172">
        <f>$DN$162*DN171</f>
        <v>1724.4481559228379</v>
      </c>
      <c r="DO172">
        <f t="shared" ref="DO172:DW172" si="66">$DN$162*DO171</f>
        <v>1715.2216841854267</v>
      </c>
      <c r="DP172">
        <f t="shared" si="66"/>
        <v>2497.5581817800344</v>
      </c>
      <c r="DQ172">
        <f t="shared" si="66"/>
        <v>1649.7205655830635</v>
      </c>
      <c r="DR172">
        <f t="shared" si="66"/>
        <v>2555.5715049325145</v>
      </c>
      <c r="DS172">
        <f t="shared" si="66"/>
        <v>1660.5271565238963</v>
      </c>
      <c r="DT172">
        <f t="shared" si="66"/>
        <v>1620.63462498636</v>
      </c>
      <c r="DU172">
        <f t="shared" si="66"/>
        <v>2482.1533901106413</v>
      </c>
      <c r="DV172">
        <f t="shared" si="66"/>
        <v>1708.0318700253256</v>
      </c>
      <c r="DW172">
        <f t="shared" si="66"/>
        <v>2628.8748014337639</v>
      </c>
      <c r="EA172" s="41">
        <v>0.33333333333333298</v>
      </c>
      <c r="EB172">
        <v>25.84778571</v>
      </c>
      <c r="EC172">
        <f t="shared" si="57"/>
        <v>4.0725150286001641E-2</v>
      </c>
      <c r="ED172">
        <v>2.2043571430000002</v>
      </c>
      <c r="EE172">
        <f t="shared" si="58"/>
        <v>1.9288707178762923E-3</v>
      </c>
      <c r="EG172">
        <v>19.2</v>
      </c>
      <c r="EH172" t="s">
        <v>162</v>
      </c>
      <c r="EI172">
        <f>SUM(EC183:EC184)</f>
        <v>8.437749567074633E-2</v>
      </c>
      <c r="EK172">
        <f>SUM(EE183:EE184)</f>
        <v>7.9680550770898084E-2</v>
      </c>
    </row>
    <row r="173" spans="67:141" x14ac:dyDescent="0.35">
      <c r="BO173" s="33" t="s">
        <v>93</v>
      </c>
      <c r="BP173">
        <v>0</v>
      </c>
      <c r="BQ173">
        <v>0</v>
      </c>
      <c r="BR173">
        <v>1.7230823788855036E-3</v>
      </c>
      <c r="BS173">
        <v>0.10089276576786367</v>
      </c>
      <c r="BT173">
        <v>0.33743480712644586</v>
      </c>
      <c r="BU173">
        <v>0.24237366810917196</v>
      </c>
      <c r="BV173">
        <v>0.19392406912872528</v>
      </c>
      <c r="BW173">
        <v>0.12305554315196404</v>
      </c>
      <c r="BX173">
        <v>5.9606433694354575E-4</v>
      </c>
      <c r="BY173">
        <v>0</v>
      </c>
      <c r="CI173" s="33" t="s">
        <v>93</v>
      </c>
      <c r="CJ173">
        <v>0</v>
      </c>
      <c r="CK173">
        <v>0</v>
      </c>
      <c r="CL173">
        <v>9.8108571715745007E-5</v>
      </c>
      <c r="CM173">
        <v>8.1635084987111167E-2</v>
      </c>
      <c r="CN173">
        <v>0.37865235364643246</v>
      </c>
      <c r="CO173">
        <v>0.23705639972657411</v>
      </c>
      <c r="CP173">
        <v>0.21203815758890587</v>
      </c>
      <c r="CQ173">
        <v>9.0519495436186245E-2</v>
      </c>
      <c r="CR173">
        <v>4.0004307432349375E-7</v>
      </c>
      <c r="CS173">
        <v>0</v>
      </c>
      <c r="CY173" s="33" t="s">
        <v>93</v>
      </c>
      <c r="CZ173">
        <v>0.15642529419337062</v>
      </c>
      <c r="DA173">
        <v>7.9415938618512844E-2</v>
      </c>
      <c r="DB173">
        <v>6.5652085702534637E-3</v>
      </c>
      <c r="DC173">
        <v>1.9305791025537094E-3</v>
      </c>
      <c r="DD173">
        <v>0.10668936596295311</v>
      </c>
      <c r="DE173">
        <v>0.10332528005093164</v>
      </c>
      <c r="DF173">
        <v>0.12959136448365702</v>
      </c>
      <c r="DG173">
        <v>0.12095648929346567</v>
      </c>
      <c r="DH173">
        <v>7.9680550779485271E-2</v>
      </c>
      <c r="DI173">
        <v>0.21541992894481671</v>
      </c>
      <c r="DM173" s="33" t="s">
        <v>93</v>
      </c>
      <c r="DN173">
        <v>0.15642529419363316</v>
      </c>
      <c r="DO173">
        <v>7.9415938619295204E-2</v>
      </c>
      <c r="DP173">
        <v>6.5652085700831347E-3</v>
      </c>
      <c r="DQ173">
        <v>1.9305791028142759E-3</v>
      </c>
      <c r="DR173">
        <v>0.1066893659640136</v>
      </c>
      <c r="DS173">
        <v>0.10332528005441935</v>
      </c>
      <c r="DT173">
        <v>0.12959136449146366</v>
      </c>
      <c r="DU173">
        <v>0.12095648928983499</v>
      </c>
      <c r="DV173">
        <v>7.9680550770898084E-2</v>
      </c>
      <c r="DW173">
        <v>0.21541992894354434</v>
      </c>
      <c r="EA173" s="41">
        <v>0.375</v>
      </c>
      <c r="EB173">
        <v>27.060214290000001</v>
      </c>
      <c r="EC173">
        <f t="shared" si="57"/>
        <v>4.2635423633418039E-2</v>
      </c>
      <c r="ED173">
        <v>17.479464289999999</v>
      </c>
      <c r="EE173">
        <f t="shared" si="58"/>
        <v>1.5294992891787188E-2</v>
      </c>
      <c r="EG173">
        <v>21.599999999999998</v>
      </c>
      <c r="EH173" t="s">
        <v>163</v>
      </c>
      <c r="EI173">
        <f>SUM(EC185:EC187)</f>
        <v>0.12986752534870591</v>
      </c>
      <c r="EK173">
        <f>SUM(EE185:EE187)</f>
        <v>0.21541992894354434</v>
      </c>
    </row>
    <row r="174" spans="67:141" x14ac:dyDescent="0.35">
      <c r="BO174" s="33" t="s">
        <v>189</v>
      </c>
      <c r="BP174">
        <f>$BP$162*BP173</f>
        <v>0</v>
      </c>
      <c r="BQ174">
        <f t="shared" ref="BQ174:BY174" si="67">$BP$162*BQ173</f>
        <v>0</v>
      </c>
      <c r="BR174">
        <f t="shared" si="67"/>
        <v>0.17081489982684961</v>
      </c>
      <c r="BS174">
        <f t="shared" si="67"/>
        <v>10.001836179787553</v>
      </c>
      <c r="BT174">
        <f t="shared" si="67"/>
        <v>33.451037213135002</v>
      </c>
      <c r="BU174">
        <f t="shared" si="67"/>
        <v>24.027309631889249</v>
      </c>
      <c r="BV174">
        <f t="shared" si="67"/>
        <v>19.2243393862943</v>
      </c>
      <c r="BW174">
        <f t="shared" si="67"/>
        <v>12.198906177798037</v>
      </c>
      <c r="BX174">
        <f t="shared" si="67"/>
        <v>5.9089844602336843E-2</v>
      </c>
      <c r="BY174">
        <f t="shared" si="67"/>
        <v>0</v>
      </c>
      <c r="CI174" s="33" t="s">
        <v>189</v>
      </c>
      <c r="CJ174">
        <f>$CJ$163*CJ173</f>
        <v>0</v>
      </c>
      <c r="CK174">
        <f t="shared" ref="CK174:CS174" si="68">$CJ$163*CK173</f>
        <v>0</v>
      </c>
      <c r="CL174">
        <f t="shared" si="68"/>
        <v>8.4088540338301439E-3</v>
      </c>
      <c r="CM174">
        <f t="shared" si="68"/>
        <v>6.9969168003469147</v>
      </c>
      <c r="CN174">
        <f t="shared" si="68"/>
        <v>32.454171085115192</v>
      </c>
      <c r="CO174">
        <f t="shared" si="68"/>
        <v>20.318027550758302</v>
      </c>
      <c r="CP174">
        <f t="shared" si="68"/>
        <v>18.173722087539446</v>
      </c>
      <c r="CQ174">
        <f t="shared" si="68"/>
        <v>7.7583967539982854</v>
      </c>
      <c r="CR174">
        <f t="shared" si="68"/>
        <v>3.4287562854113637E-5</v>
      </c>
      <c r="CS174">
        <f t="shared" si="68"/>
        <v>0</v>
      </c>
      <c r="CY174" s="33" t="s">
        <v>189</v>
      </c>
      <c r="CZ174">
        <f>$CZ$163*CZ173</f>
        <v>8.7233172395169678</v>
      </c>
      <c r="DA174">
        <f t="shared" ref="DA174:DI174" si="69">$CZ$163*DA173</f>
        <v>4.4287621769590659</v>
      </c>
      <c r="DB174">
        <f t="shared" si="69"/>
        <v>0.36611979793446814</v>
      </c>
      <c r="DC174">
        <f t="shared" si="69"/>
        <v>0.10766196128574519</v>
      </c>
      <c r="DD174">
        <f t="shared" si="69"/>
        <v>5.9497103085340184</v>
      </c>
      <c r="DE174">
        <f t="shared" si="69"/>
        <v>5.7621064508402879</v>
      </c>
      <c r="DF174">
        <f t="shared" si="69"/>
        <v>7.2268784260386063</v>
      </c>
      <c r="DG174">
        <f t="shared" si="69"/>
        <v>6.7453402195989351</v>
      </c>
      <c r="DH174">
        <f t="shared" si="69"/>
        <v>4.4435187151359621</v>
      </c>
      <c r="DI174">
        <f t="shared" si="69"/>
        <v>12.013251370822612</v>
      </c>
      <c r="DM174" s="33" t="s">
        <v>189</v>
      </c>
      <c r="DN174">
        <f>$DN$163*DN173</f>
        <v>7.4125405538853908</v>
      </c>
      <c r="DO174">
        <f t="shared" ref="DO174:DW174" si="70">$DN$163*DO173</f>
        <v>3.7632907687659567</v>
      </c>
      <c r="DP174">
        <f t="shared" si="70"/>
        <v>0.31110617385329437</v>
      </c>
      <c r="DQ174">
        <f t="shared" si="70"/>
        <v>9.1484538775295859E-2</v>
      </c>
      <c r="DR174">
        <f t="shared" si="70"/>
        <v>5.0556993097140639</v>
      </c>
      <c r="DS174">
        <f t="shared" si="70"/>
        <v>4.8962850451594209</v>
      </c>
      <c r="DT174">
        <f t="shared" si="70"/>
        <v>6.1409585302567784</v>
      </c>
      <c r="DU174">
        <f t="shared" si="70"/>
        <v>5.7317768634441162</v>
      </c>
      <c r="DV174">
        <f t="shared" si="70"/>
        <v>3.7758299704015901</v>
      </c>
      <c r="DW174">
        <f t="shared" si="70"/>
        <v>10.208125019937635</v>
      </c>
      <c r="EA174" s="41">
        <v>0.41666666666666702</v>
      </c>
      <c r="EB174">
        <v>26.294785709999999</v>
      </c>
      <c r="EC174">
        <f t="shared" si="57"/>
        <v>4.1429432748804625E-2</v>
      </c>
      <c r="ED174">
        <v>42.571249999999999</v>
      </c>
      <c r="EE174">
        <f t="shared" si="58"/>
        <v>3.7250968069828375E-2</v>
      </c>
      <c r="EK174" s="14"/>
    </row>
    <row r="175" spans="67:141" x14ac:dyDescent="0.35">
      <c r="BO175" s="33" t="s">
        <v>172</v>
      </c>
      <c r="BP175">
        <f>$BP$164/10</f>
        <v>9.1466666666666665</v>
      </c>
      <c r="BQ175">
        <f t="shared" ref="BQ175:BY175" si="71">$BP$164/10</f>
        <v>9.1466666666666665</v>
      </c>
      <c r="BR175">
        <f t="shared" si="71"/>
        <v>9.1466666666666665</v>
      </c>
      <c r="BS175">
        <f t="shared" si="71"/>
        <v>9.1466666666666665</v>
      </c>
      <c r="BT175">
        <f t="shared" si="71"/>
        <v>9.1466666666666665</v>
      </c>
      <c r="BU175">
        <f t="shared" si="71"/>
        <v>9.1466666666666665</v>
      </c>
      <c r="BV175">
        <f t="shared" si="71"/>
        <v>9.1466666666666665</v>
      </c>
      <c r="BW175">
        <f t="shared" si="71"/>
        <v>9.1466666666666665</v>
      </c>
      <c r="BX175">
        <f t="shared" si="71"/>
        <v>9.1466666666666665</v>
      </c>
      <c r="BY175">
        <f t="shared" si="71"/>
        <v>9.1466666666666665</v>
      </c>
      <c r="CI175" s="33" t="s">
        <v>172</v>
      </c>
      <c r="CJ175">
        <f>$CJ$165/10</f>
        <v>39.677419354838705</v>
      </c>
      <c r="CK175">
        <f t="shared" ref="CK175:CS175" si="72">$CJ$165/10</f>
        <v>39.677419354838705</v>
      </c>
      <c r="CL175">
        <f t="shared" si="72"/>
        <v>39.677419354838705</v>
      </c>
      <c r="CM175">
        <f t="shared" si="72"/>
        <v>39.677419354838705</v>
      </c>
      <c r="CN175">
        <f t="shared" si="72"/>
        <v>39.677419354838705</v>
      </c>
      <c r="CO175">
        <f t="shared" si="72"/>
        <v>39.677419354838705</v>
      </c>
      <c r="CP175">
        <f t="shared" si="72"/>
        <v>39.677419354838705</v>
      </c>
      <c r="CQ175">
        <f t="shared" si="72"/>
        <v>39.677419354838705</v>
      </c>
      <c r="CR175">
        <f t="shared" si="72"/>
        <v>39.677419354838705</v>
      </c>
      <c r="CS175">
        <f t="shared" si="72"/>
        <v>39.677419354838705</v>
      </c>
      <c r="CY175" s="33" t="s">
        <v>172</v>
      </c>
      <c r="CZ175">
        <f>$CZ$165/10</f>
        <v>92.013333333333335</v>
      </c>
      <c r="DA175">
        <f t="shared" ref="DA175:DI175" si="73">$CZ$165/10</f>
        <v>92.013333333333335</v>
      </c>
      <c r="DB175">
        <f t="shared" si="73"/>
        <v>92.013333333333335</v>
      </c>
      <c r="DC175">
        <f t="shared" si="73"/>
        <v>92.013333333333335</v>
      </c>
      <c r="DD175">
        <f t="shared" si="73"/>
        <v>92.013333333333335</v>
      </c>
      <c r="DE175">
        <f t="shared" si="73"/>
        <v>92.013333333333335</v>
      </c>
      <c r="DF175">
        <f t="shared" si="73"/>
        <v>92.013333333333335</v>
      </c>
      <c r="DG175">
        <f t="shared" si="73"/>
        <v>92.013333333333335</v>
      </c>
      <c r="DH175">
        <f t="shared" si="73"/>
        <v>92.013333333333335</v>
      </c>
      <c r="DI175">
        <f t="shared" si="73"/>
        <v>92.013333333333335</v>
      </c>
      <c r="DM175" s="33" t="s">
        <v>172</v>
      </c>
      <c r="DN175">
        <f>$DN$165/10</f>
        <v>120.48387096774192</v>
      </c>
      <c r="DO175">
        <f t="shared" ref="DO175:DW175" si="74">$DN$165/10</f>
        <v>120.48387096774192</v>
      </c>
      <c r="DP175">
        <f t="shared" si="74"/>
        <v>120.48387096774192</v>
      </c>
      <c r="DQ175">
        <f t="shared" si="74"/>
        <v>120.48387096774192</v>
      </c>
      <c r="DR175">
        <f t="shared" si="74"/>
        <v>120.48387096774192</v>
      </c>
      <c r="DS175">
        <f t="shared" si="74"/>
        <v>120.48387096774192</v>
      </c>
      <c r="DT175">
        <f t="shared" si="74"/>
        <v>120.48387096774192</v>
      </c>
      <c r="DU175">
        <f t="shared" si="74"/>
        <v>120.48387096774192</v>
      </c>
      <c r="DV175">
        <f t="shared" si="74"/>
        <v>120.48387096774192</v>
      </c>
      <c r="DW175">
        <f t="shared" si="74"/>
        <v>120.48387096774192</v>
      </c>
      <c r="EA175" s="41">
        <v>0.45833333333333298</v>
      </c>
      <c r="EB175">
        <v>26.772085709999999</v>
      </c>
      <c r="EC175">
        <f t="shared" si="57"/>
        <v>4.2181455163784194E-2</v>
      </c>
      <c r="ED175">
        <v>61.87630952</v>
      </c>
      <c r="EE175">
        <f t="shared" si="58"/>
        <v>5.4143405002398039E-2</v>
      </c>
      <c r="EK175" s="14"/>
    </row>
    <row r="176" spans="67:141" x14ac:dyDescent="0.35">
      <c r="BO176" s="33" t="s">
        <v>170</v>
      </c>
      <c r="BP176">
        <v>0</v>
      </c>
      <c r="BQ176">
        <v>0</v>
      </c>
      <c r="BR176">
        <v>0</v>
      </c>
      <c r="BS176">
        <v>0</v>
      </c>
      <c r="BT176">
        <v>0</v>
      </c>
      <c r="BU176">
        <v>0</v>
      </c>
      <c r="BV176">
        <v>0</v>
      </c>
      <c r="BW176">
        <v>0</v>
      </c>
      <c r="BX176">
        <v>0</v>
      </c>
      <c r="BY176">
        <v>0</v>
      </c>
      <c r="CI176" s="33" t="s">
        <v>170</v>
      </c>
      <c r="CJ176">
        <v>0</v>
      </c>
      <c r="CK176">
        <v>0</v>
      </c>
      <c r="CL176">
        <v>0</v>
      </c>
      <c r="CM176">
        <v>0</v>
      </c>
      <c r="CN176">
        <v>0</v>
      </c>
      <c r="CO176">
        <v>0</v>
      </c>
      <c r="CP176">
        <v>0</v>
      </c>
      <c r="CQ176">
        <v>0</v>
      </c>
      <c r="CR176">
        <v>0</v>
      </c>
      <c r="CS176">
        <v>0</v>
      </c>
      <c r="CY176" s="33" t="s">
        <v>170</v>
      </c>
      <c r="CZ176">
        <v>0</v>
      </c>
      <c r="DA176">
        <v>0</v>
      </c>
      <c r="DB176">
        <v>0</v>
      </c>
      <c r="DC176">
        <v>0</v>
      </c>
      <c r="DD176">
        <v>0</v>
      </c>
      <c r="DE176">
        <v>0</v>
      </c>
      <c r="DF176">
        <v>0</v>
      </c>
      <c r="DG176">
        <v>0</v>
      </c>
      <c r="DH176">
        <v>0</v>
      </c>
      <c r="DI176">
        <v>0</v>
      </c>
      <c r="DM176" s="33" t="s">
        <v>170</v>
      </c>
      <c r="DN176">
        <v>0</v>
      </c>
      <c r="DO176">
        <v>0</v>
      </c>
      <c r="DP176">
        <v>0</v>
      </c>
      <c r="DQ176">
        <v>0</v>
      </c>
      <c r="DR176">
        <v>0</v>
      </c>
      <c r="DS176">
        <v>0</v>
      </c>
      <c r="DT176">
        <v>0</v>
      </c>
      <c r="DU176">
        <v>0</v>
      </c>
      <c r="DV176">
        <v>0</v>
      </c>
      <c r="DW176">
        <v>0</v>
      </c>
      <c r="EA176" s="41">
        <v>0.5</v>
      </c>
      <c r="EB176">
        <v>26.330185709999999</v>
      </c>
      <c r="EC176">
        <f t="shared" si="57"/>
        <v>4.1485208138476268E-2</v>
      </c>
      <c r="ED176">
        <v>56.735654760000003</v>
      </c>
      <c r="EE176">
        <f t="shared" si="58"/>
        <v>4.9645196321122034E-2</v>
      </c>
      <c r="EK176" s="14"/>
    </row>
    <row r="177" spans="67:141" x14ac:dyDescent="0.35">
      <c r="BO177" s="33"/>
      <c r="CI177" s="33"/>
      <c r="CY177" s="33"/>
      <c r="DM177" s="33"/>
      <c r="EA177" s="41">
        <v>0.54166666666666696</v>
      </c>
      <c r="EB177">
        <v>25.733785709999999</v>
      </c>
      <c r="EC177">
        <f t="shared" si="57"/>
        <v>4.0545534624347179E-2</v>
      </c>
      <c r="ED177">
        <v>61.346815479999997</v>
      </c>
      <c r="EE177">
        <f t="shared" si="58"/>
        <v>5.3680083733297308E-2</v>
      </c>
      <c r="EK177" s="14"/>
    </row>
    <row r="178" spans="67:141" x14ac:dyDescent="0.35">
      <c r="BO178" s="33" t="s">
        <v>194</v>
      </c>
      <c r="BP178">
        <f t="shared" ref="BP178:BY178" si="75">BP172+BP174+BP175+BP176</f>
        <v>1124.1457772911381</v>
      </c>
      <c r="BQ178">
        <f t="shared" si="75"/>
        <v>1128.9930836167639</v>
      </c>
      <c r="BR178">
        <f t="shared" si="75"/>
        <v>1668.9156327988717</v>
      </c>
      <c r="BS178">
        <f t="shared" si="75"/>
        <v>1168.4116529943369</v>
      </c>
      <c r="BT178">
        <f t="shared" si="75"/>
        <v>1779.7395723521313</v>
      </c>
      <c r="BU178">
        <f t="shared" si="75"/>
        <v>1189.6059101669073</v>
      </c>
      <c r="BV178">
        <f t="shared" si="75"/>
        <v>1182.7484379201971</v>
      </c>
      <c r="BW178">
        <f t="shared" si="75"/>
        <v>1704.0156716829495</v>
      </c>
      <c r="BX178">
        <f t="shared" si="75"/>
        <v>1129.6344654723773</v>
      </c>
      <c r="BY178">
        <f t="shared" si="75"/>
        <v>1684.3897957043287</v>
      </c>
      <c r="CI178" s="33" t="s">
        <v>194</v>
      </c>
      <c r="CJ178">
        <f t="shared" ref="CJ178:CS178" si="76">CJ172+CJ174+CJ175+CJ176</f>
        <v>1318.7842150437693</v>
      </c>
      <c r="CK178">
        <f t="shared" si="76"/>
        <v>1367.0278339063952</v>
      </c>
      <c r="CL178">
        <f t="shared" si="76"/>
        <v>2099.3932757744069</v>
      </c>
      <c r="CM178">
        <f t="shared" si="76"/>
        <v>1512.4491254827158</v>
      </c>
      <c r="CN178">
        <f t="shared" si="76"/>
        <v>2405.3127594091602</v>
      </c>
      <c r="CO178">
        <f t="shared" si="76"/>
        <v>1600.5994351014631</v>
      </c>
      <c r="CP178">
        <f t="shared" si="76"/>
        <v>1477.0625940290445</v>
      </c>
      <c r="CQ178">
        <f t="shared" si="76"/>
        <v>1874.0734524821546</v>
      </c>
      <c r="CR178">
        <f t="shared" si="76"/>
        <v>1223.9989903945734</v>
      </c>
      <c r="CS178">
        <f t="shared" si="76"/>
        <v>1755.9757377311564</v>
      </c>
      <c r="CY178" s="33" t="s">
        <v>194</v>
      </c>
      <c r="CZ178">
        <f t="shared" ref="CZ178:DI178" si="77">CZ172+CZ174+CZ175+CZ176</f>
        <v>1445.4564816854472</v>
      </c>
      <c r="DA178">
        <f t="shared" si="77"/>
        <v>1433.9671493753362</v>
      </c>
      <c r="DB178">
        <f t="shared" si="77"/>
        <v>2039.9683117516311</v>
      </c>
      <c r="DC178">
        <f t="shared" si="77"/>
        <v>1378.5684611569586</v>
      </c>
      <c r="DD178">
        <f t="shared" si="77"/>
        <v>2090.7905289801224</v>
      </c>
      <c r="DE178">
        <f t="shared" si="77"/>
        <v>1392.6498550221399</v>
      </c>
      <c r="DF178">
        <f t="shared" si="77"/>
        <v>1363.0065423454325</v>
      </c>
      <c r="DG178">
        <f t="shared" si="77"/>
        <v>2034.3349190624749</v>
      </c>
      <c r="DH178">
        <f t="shared" si="77"/>
        <v>1428.3753092910526</v>
      </c>
      <c r="DI178">
        <f t="shared" si="77"/>
        <v>2154.0157746627378</v>
      </c>
      <c r="DM178" s="33" t="s">
        <v>194</v>
      </c>
      <c r="DN178">
        <f t="shared" ref="DN178:DW178" si="78">DN172+DN174+DN175+DN176</f>
        <v>1852.3445674444654</v>
      </c>
      <c r="DO178">
        <f t="shared" si="78"/>
        <v>1839.4688459219346</v>
      </c>
      <c r="DP178">
        <f t="shared" si="78"/>
        <v>2618.3531589216295</v>
      </c>
      <c r="DQ178">
        <f t="shared" si="78"/>
        <v>1770.2959210895808</v>
      </c>
      <c r="DR178">
        <f t="shared" si="78"/>
        <v>2681.1110752099703</v>
      </c>
      <c r="DS178">
        <f t="shared" si="78"/>
        <v>1785.9073125367977</v>
      </c>
      <c r="DT178">
        <f t="shared" si="78"/>
        <v>1747.2594544843587</v>
      </c>
      <c r="DU178">
        <f t="shared" si="78"/>
        <v>2608.3690379418276</v>
      </c>
      <c r="DV178">
        <f t="shared" si="78"/>
        <v>1832.2915709634692</v>
      </c>
      <c r="DW178">
        <f t="shared" si="78"/>
        <v>2759.5667974214434</v>
      </c>
      <c r="EA178" s="41">
        <v>0.58333333333333304</v>
      </c>
      <c r="EB178">
        <v>25.630542859999998</v>
      </c>
      <c r="EC178">
        <f t="shared" si="57"/>
        <v>4.0382867669839798E-2</v>
      </c>
      <c r="ED178">
        <v>64.344363099999995</v>
      </c>
      <c r="EE178">
        <f t="shared" si="58"/>
        <v>5.6303017066953474E-2</v>
      </c>
      <c r="EK178" s="14"/>
    </row>
    <row r="179" spans="67:141" x14ac:dyDescent="0.35">
      <c r="EA179" s="41">
        <v>0.625</v>
      </c>
      <c r="EB179">
        <v>25.182642860000001</v>
      </c>
      <c r="EC179">
        <f t="shared" si="57"/>
        <v>3.9677167188655334E-2</v>
      </c>
      <c r="ED179">
        <v>83.755583329999993</v>
      </c>
      <c r="EE179">
        <f t="shared" si="58"/>
        <v>7.3288347424510195E-2</v>
      </c>
      <c r="EK179" s="14"/>
    </row>
    <row r="180" spans="67:141" x14ac:dyDescent="0.35">
      <c r="EA180" s="41">
        <v>0.66666666666666696</v>
      </c>
      <c r="EB180">
        <v>24.81728571</v>
      </c>
      <c r="EC180">
        <f t="shared" si="57"/>
        <v>3.9101519239204137E-2</v>
      </c>
      <c r="ED180">
        <v>58.480125000000001</v>
      </c>
      <c r="EE180">
        <f t="shared" si="58"/>
        <v>5.1171653853118532E-2</v>
      </c>
      <c r="EK180" s="14"/>
    </row>
    <row r="181" spans="67:141" x14ac:dyDescent="0.35">
      <c r="EA181" s="41">
        <v>0.70833333333333304</v>
      </c>
      <c r="EB181">
        <v>25.76635714</v>
      </c>
      <c r="EC181">
        <f t="shared" si="57"/>
        <v>4.0596853387070704E-2</v>
      </c>
      <c r="ED181">
        <v>44.420464289999998</v>
      </c>
      <c r="EE181">
        <f t="shared" si="58"/>
        <v>3.8869079411897503E-2</v>
      </c>
      <c r="EK181" s="14"/>
    </row>
    <row r="182" spans="67:141" x14ac:dyDescent="0.35">
      <c r="EA182" s="41">
        <v>0.75</v>
      </c>
      <c r="EB182">
        <v>27.241499999999998</v>
      </c>
      <c r="EC182">
        <f t="shared" si="57"/>
        <v>4.2921053043507053E-2</v>
      </c>
      <c r="ED182">
        <v>35.331226190000002</v>
      </c>
      <c r="EE182">
        <f t="shared" si="58"/>
        <v>3.0915756024818962E-2</v>
      </c>
      <c r="EK182" s="14"/>
    </row>
    <row r="183" spans="67:141" x14ac:dyDescent="0.35">
      <c r="EA183" s="41">
        <v>0.79166666666666696</v>
      </c>
      <c r="EB183">
        <v>26.82407143</v>
      </c>
      <c r="EC183">
        <f t="shared" si="57"/>
        <v>4.2263362615489311E-2</v>
      </c>
      <c r="ED183">
        <v>41.32732738</v>
      </c>
      <c r="EE183">
        <f t="shared" si="58"/>
        <v>3.6162502924948742E-2</v>
      </c>
      <c r="EK183" s="14"/>
    </row>
    <row r="184" spans="67:141" x14ac:dyDescent="0.35">
      <c r="EA184" s="41">
        <v>0.83333333333333304</v>
      </c>
      <c r="EB184">
        <v>26.729357140000001</v>
      </c>
      <c r="EC184">
        <f t="shared" si="57"/>
        <v>4.2114133055257019E-2</v>
      </c>
      <c r="ED184">
        <v>49.733410710000001</v>
      </c>
      <c r="EE184">
        <f t="shared" si="58"/>
        <v>4.3518047845949336E-2</v>
      </c>
      <c r="EK184" s="14"/>
    </row>
    <row r="185" spans="67:141" x14ac:dyDescent="0.35">
      <c r="EA185" s="41">
        <v>0.875</v>
      </c>
      <c r="EB185">
        <v>27.392357140000001</v>
      </c>
      <c r="EC185">
        <f t="shared" si="57"/>
        <v>4.3158739929615816E-2</v>
      </c>
      <c r="ED185">
        <v>76.026684520000003</v>
      </c>
      <c r="EE185">
        <f t="shared" si="58"/>
        <v>6.6525356843161423E-2</v>
      </c>
      <c r="EK185" s="14"/>
    </row>
    <row r="186" spans="67:141" x14ac:dyDescent="0.35">
      <c r="EA186" s="41">
        <v>0.91666666666666696</v>
      </c>
      <c r="EB186">
        <v>27.378</v>
      </c>
      <c r="EC186">
        <f t="shared" si="57"/>
        <v>4.3136119164698568E-2</v>
      </c>
      <c r="ED186">
        <v>85.42627976</v>
      </c>
      <c r="EE186">
        <f t="shared" si="58"/>
        <v>7.4750250924367642E-2</v>
      </c>
      <c r="EK186" s="14"/>
    </row>
    <row r="187" spans="67:141" ht="15" thickBot="1" x14ac:dyDescent="0.4">
      <c r="EA187" s="42">
        <v>0.95833333333333304</v>
      </c>
      <c r="EB187">
        <v>27.65507143</v>
      </c>
      <c r="EC187">
        <f t="shared" si="57"/>
        <v>4.3572666254391511E-2</v>
      </c>
      <c r="ED187">
        <v>84.733809519999994</v>
      </c>
      <c r="EE187">
        <f t="shared" si="58"/>
        <v>7.4144321176015257E-2</v>
      </c>
      <c r="EK187" s="14"/>
    </row>
    <row r="188" spans="67:141" ht="15" thickBot="1" x14ac:dyDescent="0.4">
      <c r="EA188" s="35" t="s">
        <v>352</v>
      </c>
      <c r="EB188" s="15">
        <f>SUM(EB164:EB187)</f>
        <v>634.68852855000023</v>
      </c>
      <c r="EC188" s="15">
        <f>SUM(EC164:EC187)</f>
        <v>0.99999999999999978</v>
      </c>
      <c r="ED188" s="15">
        <f>SUM(ED164:ED187)</f>
        <v>1142.8226488020002</v>
      </c>
      <c r="EE188" s="15">
        <f>SUM(EE164:EE187)</f>
        <v>0.99999999999999967</v>
      </c>
      <c r="EF188" s="15"/>
      <c r="EG188" s="15"/>
      <c r="EH188" s="15"/>
      <c r="EI188" s="15"/>
      <c r="EJ188" s="15"/>
      <c r="EK188" s="16"/>
    </row>
  </sheetData>
  <mergeCells count="85">
    <mergeCell ref="AL39:AL40"/>
    <mergeCell ref="AM39:AM40"/>
    <mergeCell ref="AN39:AN40"/>
    <mergeCell ref="B41:B47"/>
    <mergeCell ref="B48:C48"/>
    <mergeCell ref="AF39:AF40"/>
    <mergeCell ref="AG39:AG40"/>
    <mergeCell ref="AH39:AH40"/>
    <mergeCell ref="AI39:AI40"/>
    <mergeCell ref="AJ39:AJ40"/>
    <mergeCell ref="AK39:AK40"/>
    <mergeCell ref="Z39:Z40"/>
    <mergeCell ref="AA39:AA40"/>
    <mergeCell ref="AB39:AB40"/>
    <mergeCell ref="AC39:AC40"/>
    <mergeCell ref="AD39:AD40"/>
    <mergeCell ref="O39:O40"/>
    <mergeCell ref="P39:P40"/>
    <mergeCell ref="Q39:Q40"/>
    <mergeCell ref="R39:R40"/>
    <mergeCell ref="AE39:AE40"/>
    <mergeCell ref="T39:T40"/>
    <mergeCell ref="U39:U40"/>
    <mergeCell ref="V39:V40"/>
    <mergeCell ref="W39:W40"/>
    <mergeCell ref="X39:X40"/>
    <mergeCell ref="Y39:Y40"/>
    <mergeCell ref="AN2:AN3"/>
    <mergeCell ref="B19:C19"/>
    <mergeCell ref="A38:B40"/>
    <mergeCell ref="C38:AM38"/>
    <mergeCell ref="D39:D40"/>
    <mergeCell ref="E39:E40"/>
    <mergeCell ref="F39:F40"/>
    <mergeCell ref="G39:G40"/>
    <mergeCell ref="S39:S40"/>
    <mergeCell ref="H39:H40"/>
    <mergeCell ref="I39:I40"/>
    <mergeCell ref="J39:J40"/>
    <mergeCell ref="K39:K40"/>
    <mergeCell ref="L39:L40"/>
    <mergeCell ref="M39:M40"/>
    <mergeCell ref="N39:N40"/>
    <mergeCell ref="AC2:AC3"/>
    <mergeCell ref="AJ2:AJ3"/>
    <mergeCell ref="AK2:AK3"/>
    <mergeCell ref="AL2:AL3"/>
    <mergeCell ref="AM2:AM3"/>
    <mergeCell ref="AA2:AA3"/>
    <mergeCell ref="AB2:AB3"/>
    <mergeCell ref="U2:U3"/>
    <mergeCell ref="V2:V3"/>
    <mergeCell ref="W2:W3"/>
    <mergeCell ref="B4:B18"/>
    <mergeCell ref="AD2:AD3"/>
    <mergeCell ref="L2:L3"/>
    <mergeCell ref="M2:M3"/>
    <mergeCell ref="N2:N3"/>
    <mergeCell ref="O2:O3"/>
    <mergeCell ref="P2:P3"/>
    <mergeCell ref="Q2:Q3"/>
    <mergeCell ref="A1:B3"/>
    <mergeCell ref="C1:AM1"/>
    <mergeCell ref="D2:D3"/>
    <mergeCell ref="E2:E3"/>
    <mergeCell ref="F2:F3"/>
    <mergeCell ref="G2:G3"/>
    <mergeCell ref="H2:H3"/>
    <mergeCell ref="I2:I3"/>
    <mergeCell ref="AU33:AV35"/>
    <mergeCell ref="AW33:BH33"/>
    <mergeCell ref="AX34:BI34"/>
    <mergeCell ref="J2:J3"/>
    <mergeCell ref="K2:K3"/>
    <mergeCell ref="AH2:AH3"/>
    <mergeCell ref="AI2:AI3"/>
    <mergeCell ref="X2:X3"/>
    <mergeCell ref="Y2:Y3"/>
    <mergeCell ref="Z2:Z3"/>
    <mergeCell ref="AE2:AE3"/>
    <mergeCell ref="AF2:AF3"/>
    <mergeCell ref="AG2:AG3"/>
    <mergeCell ref="R2:R3"/>
    <mergeCell ref="S2:S3"/>
    <mergeCell ref="T2:T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3039E7-198B-43F0-B6DE-D482F311B823}">
  <sheetPr>
    <tabColor theme="5"/>
  </sheetPr>
  <dimension ref="A1:CO164"/>
  <sheetViews>
    <sheetView zoomScale="70" zoomScaleNormal="70" workbookViewId="0">
      <selection activeCell="J17" sqref="J17"/>
    </sheetView>
  </sheetViews>
  <sheetFormatPr defaultRowHeight="14.5" x14ac:dyDescent="0.35"/>
  <cols>
    <col min="2" max="4" width="13.54296875" customWidth="1"/>
    <col min="5" max="5" width="22" customWidth="1"/>
    <col min="6" max="6" width="26.1796875" customWidth="1"/>
    <col min="7" max="7" width="20.54296875" customWidth="1"/>
    <col min="8" max="8" width="20.7265625" customWidth="1"/>
    <col min="9" max="9" width="18.453125" customWidth="1"/>
    <col min="10" max="10" width="16.81640625" customWidth="1"/>
    <col min="11" max="11" width="13.54296875" customWidth="1"/>
    <col min="14" max="14" width="9.81640625" customWidth="1"/>
    <col min="15" max="15" width="15" customWidth="1"/>
    <col min="16" max="16" width="10.1796875" customWidth="1"/>
    <col min="25" max="25" width="20.54296875" customWidth="1"/>
    <col min="28" max="28" width="14.1796875" customWidth="1"/>
    <col min="31" max="31" width="9.81640625" bestFit="1" customWidth="1"/>
    <col min="34" max="34" width="16.7265625" bestFit="1" customWidth="1"/>
    <col min="35" max="35" width="17.7265625" bestFit="1" customWidth="1"/>
    <col min="36" max="36" width="22.1796875" bestFit="1" customWidth="1"/>
    <col min="37" max="37" width="19.81640625" bestFit="1" customWidth="1"/>
    <col min="39" max="39" width="11.453125" bestFit="1" customWidth="1"/>
    <col min="40" max="40" width="21.26953125" bestFit="1" customWidth="1"/>
    <col min="41" max="41" width="21.1796875" bestFit="1" customWidth="1"/>
    <col min="42" max="42" width="15.1796875" customWidth="1"/>
    <col min="43" max="43" width="9.26953125" customWidth="1"/>
    <col min="44" max="44" width="7.26953125" customWidth="1"/>
    <col min="45" max="45" width="7.54296875" customWidth="1"/>
    <col min="46" max="46" width="13.1796875" customWidth="1"/>
    <col min="47" max="47" width="16.26953125" customWidth="1"/>
    <col min="48" max="48" width="9.54296875" customWidth="1"/>
    <col min="50" max="50" width="16.7265625" customWidth="1"/>
    <col min="54" max="54" width="25.81640625" bestFit="1" customWidth="1"/>
    <col min="55" max="55" width="12.54296875" bestFit="1" customWidth="1"/>
    <col min="56" max="57" width="12.81640625" bestFit="1" customWidth="1"/>
  </cols>
  <sheetData>
    <row r="1" spans="1:57" x14ac:dyDescent="0.35">
      <c r="A1" s="56"/>
      <c r="B1" s="56" t="s">
        <v>216</v>
      </c>
      <c r="C1" s="56" t="s">
        <v>217</v>
      </c>
      <c r="D1" s="56" t="s">
        <v>218</v>
      </c>
      <c r="E1" s="56" t="s">
        <v>219</v>
      </c>
      <c r="F1" s="56" t="s">
        <v>220</v>
      </c>
      <c r="G1" s="56" t="s">
        <v>221</v>
      </c>
      <c r="H1" s="56" t="s">
        <v>515</v>
      </c>
      <c r="I1" s="56" t="s">
        <v>224</v>
      </c>
      <c r="J1" s="56" t="s">
        <v>225</v>
      </c>
      <c r="K1" s="144" t="s">
        <v>514</v>
      </c>
      <c r="L1" s="58"/>
      <c r="N1" s="56"/>
      <c r="O1" s="56" t="s">
        <v>228</v>
      </c>
      <c r="P1" s="56" t="s">
        <v>229</v>
      </c>
      <c r="R1" s="58" t="s">
        <v>230</v>
      </c>
    </row>
    <row r="2" spans="1:57" x14ac:dyDescent="0.35">
      <c r="A2" s="56" t="s">
        <v>41</v>
      </c>
      <c r="B2" s="56">
        <f>Faial!AX21</f>
        <v>415244</v>
      </c>
      <c r="C2" s="57">
        <f>Faial!AX43</f>
        <v>3782515</v>
      </c>
      <c r="D2" s="56">
        <f t="shared" ref="D2:D13" si="0">C2-B2</f>
        <v>3367271</v>
      </c>
      <c r="E2" s="56">
        <f>Faial!AX24</f>
        <v>415062</v>
      </c>
      <c r="F2" s="56">
        <f t="shared" ref="F2:F13" si="1">(E2/$R$2)*10^-3</f>
        <v>83.0124</v>
      </c>
      <c r="G2" s="56">
        <f t="shared" ref="G2:G13" si="2">$P$3/F2</f>
        <v>57.365786918580838</v>
      </c>
      <c r="H2" s="56">
        <f t="shared" ref="H2:H13" si="3">ROUNDUP(G2,0)</f>
        <v>58</v>
      </c>
      <c r="I2" s="56">
        <v>20.079999999999998</v>
      </c>
      <c r="J2" s="30">
        <f t="shared" ref="J2:J13" si="4">($O$3*10^3)/I2</f>
        <v>12481.840139442233</v>
      </c>
      <c r="K2" s="144">
        <f t="shared" ref="K2:K13" si="5">ROUNDUP(J2,0)</f>
        <v>12482</v>
      </c>
      <c r="L2" s="58"/>
      <c r="N2" s="56" t="s">
        <v>231</v>
      </c>
      <c r="O2" s="56">
        <v>5</v>
      </c>
      <c r="P2" s="56">
        <v>95</v>
      </c>
      <c r="R2" s="58">
        <v>5</v>
      </c>
    </row>
    <row r="3" spans="1:57" x14ac:dyDescent="0.35">
      <c r="A3" s="56" t="s">
        <v>42</v>
      </c>
      <c r="B3" s="56">
        <f>Faial!AY21</f>
        <v>307648</v>
      </c>
      <c r="C3" s="57">
        <f>Faial!AY43</f>
        <v>3544391</v>
      </c>
      <c r="D3" s="56">
        <f t="shared" si="0"/>
        <v>3236743</v>
      </c>
      <c r="E3" s="56">
        <f>Faial!AY24</f>
        <v>299411</v>
      </c>
      <c r="F3" s="56">
        <f t="shared" si="1"/>
        <v>59.882199999999997</v>
      </c>
      <c r="G3" s="56">
        <f t="shared" si="2"/>
        <v>79.523992939471157</v>
      </c>
      <c r="H3" s="56">
        <f t="shared" si="3"/>
        <v>80</v>
      </c>
      <c r="I3" s="56">
        <v>25.32</v>
      </c>
      <c r="J3" s="30">
        <f t="shared" si="4"/>
        <v>9898.7105055292268</v>
      </c>
      <c r="K3" s="144">
        <f t="shared" si="5"/>
        <v>9899</v>
      </c>
      <c r="L3" s="58"/>
      <c r="N3" s="56" t="s">
        <v>232</v>
      </c>
      <c r="O3" s="56">
        <f>$D$7*(O2/100)*10^-3</f>
        <v>250.63535000000002</v>
      </c>
      <c r="P3" s="56">
        <f>$D$7*(P2/100)*10^-3</f>
        <v>4762.0716499999999</v>
      </c>
      <c r="R3" t="s">
        <v>353</v>
      </c>
      <c r="S3" t="s">
        <v>354</v>
      </c>
      <c r="AQ3" t="s">
        <v>235</v>
      </c>
      <c r="AR3" t="s">
        <v>236</v>
      </c>
    </row>
    <row r="4" spans="1:57" x14ac:dyDescent="0.35">
      <c r="A4" s="56" t="s">
        <v>43</v>
      </c>
      <c r="B4" s="56">
        <f>Faial!AZ21</f>
        <v>642500</v>
      </c>
      <c r="C4" s="57">
        <f>Faial!AZ43</f>
        <v>3820841</v>
      </c>
      <c r="D4" s="56">
        <f t="shared" si="0"/>
        <v>3178341</v>
      </c>
      <c r="E4" s="56">
        <f>Faial!AZ24</f>
        <v>590961</v>
      </c>
      <c r="F4" s="56">
        <f t="shared" si="1"/>
        <v>118.1922</v>
      </c>
      <c r="G4" s="56">
        <f t="shared" si="2"/>
        <v>40.290913021333047</v>
      </c>
      <c r="H4" s="56">
        <f t="shared" si="3"/>
        <v>41</v>
      </c>
      <c r="I4" s="56">
        <v>34.32</v>
      </c>
      <c r="J4" s="30">
        <f t="shared" si="4"/>
        <v>7302.8948135198134</v>
      </c>
      <c r="K4" s="144">
        <f t="shared" si="5"/>
        <v>7303</v>
      </c>
      <c r="L4" s="58"/>
      <c r="AI4" t="s">
        <v>238</v>
      </c>
    </row>
    <row r="5" spans="1:57" x14ac:dyDescent="0.35">
      <c r="A5" s="56" t="s">
        <v>44</v>
      </c>
      <c r="B5" s="56">
        <f>Faial!BA21</f>
        <v>666103</v>
      </c>
      <c r="C5" s="57">
        <f>Faial!BA43</f>
        <v>3743867</v>
      </c>
      <c r="D5" s="56">
        <f t="shared" si="0"/>
        <v>3077764</v>
      </c>
      <c r="E5" s="56">
        <f>Faial!BA24</f>
        <v>622785</v>
      </c>
      <c r="F5" s="56">
        <f t="shared" si="1"/>
        <v>124.557</v>
      </c>
      <c r="G5" s="56">
        <f t="shared" si="2"/>
        <v>38.232067647743598</v>
      </c>
      <c r="H5" s="56">
        <f t="shared" si="3"/>
        <v>39</v>
      </c>
      <c r="I5" s="56">
        <v>40.24</v>
      </c>
      <c r="J5" s="30">
        <f t="shared" si="4"/>
        <v>6228.512673956262</v>
      </c>
      <c r="K5" s="144">
        <f t="shared" si="5"/>
        <v>6229</v>
      </c>
      <c r="L5" s="58"/>
    </row>
    <row r="6" spans="1:57" x14ac:dyDescent="0.35">
      <c r="A6" s="56" t="s">
        <v>45</v>
      </c>
      <c r="B6" s="56">
        <f>Faial!BB21</f>
        <v>527788</v>
      </c>
      <c r="C6" s="57">
        <f>Faial!BB43</f>
        <v>1988599</v>
      </c>
      <c r="D6" s="56">
        <f t="shared" si="0"/>
        <v>1460811</v>
      </c>
      <c r="E6" s="56">
        <f>Faial!BB24</f>
        <v>503698</v>
      </c>
      <c r="F6" s="56">
        <f t="shared" si="1"/>
        <v>100.73960000000001</v>
      </c>
      <c r="G6" s="56">
        <f t="shared" si="2"/>
        <v>47.271099448479042</v>
      </c>
      <c r="H6" s="56">
        <f t="shared" si="3"/>
        <v>48</v>
      </c>
      <c r="I6" s="56">
        <v>43.5</v>
      </c>
      <c r="J6" s="30">
        <f t="shared" si="4"/>
        <v>5761.732183908046</v>
      </c>
      <c r="K6" s="144">
        <f t="shared" si="5"/>
        <v>5762</v>
      </c>
      <c r="L6" s="58"/>
      <c r="AD6" t="s">
        <v>355</v>
      </c>
      <c r="AE6" t="s">
        <v>356</v>
      </c>
      <c r="AJ6" t="s">
        <v>242</v>
      </c>
      <c r="AQ6" t="s">
        <v>243</v>
      </c>
    </row>
    <row r="7" spans="1:57" x14ac:dyDescent="0.35">
      <c r="A7" s="56" t="s">
        <v>46</v>
      </c>
      <c r="B7" s="56">
        <f>Faial!BC21</f>
        <v>486492</v>
      </c>
      <c r="C7" s="57">
        <f>Faial!BC43</f>
        <v>5499199</v>
      </c>
      <c r="D7" s="56">
        <f t="shared" si="0"/>
        <v>5012707</v>
      </c>
      <c r="E7" s="56">
        <f>Faial!BC24</f>
        <v>483076</v>
      </c>
      <c r="F7" s="56">
        <f t="shared" si="1"/>
        <v>96.615200000000002</v>
      </c>
      <c r="G7" s="56">
        <f t="shared" si="2"/>
        <v>49.289052343730589</v>
      </c>
      <c r="H7" s="56">
        <f t="shared" si="3"/>
        <v>50</v>
      </c>
      <c r="I7" s="56">
        <v>43.65</v>
      </c>
      <c r="J7" s="30">
        <f t="shared" si="4"/>
        <v>5741.9324169530355</v>
      </c>
      <c r="K7" s="144">
        <f t="shared" si="5"/>
        <v>5742</v>
      </c>
      <c r="L7" s="58"/>
      <c r="AD7">
        <v>3850</v>
      </c>
      <c r="AE7">
        <v>50</v>
      </c>
      <c r="AH7" t="s">
        <v>245</v>
      </c>
      <c r="AI7" t="s">
        <v>246</v>
      </c>
      <c r="AJ7" t="s">
        <v>247</v>
      </c>
      <c r="AK7" t="s">
        <v>248</v>
      </c>
      <c r="AL7" t="s">
        <v>181</v>
      </c>
      <c r="AM7" t="s">
        <v>204</v>
      </c>
      <c r="AN7" t="s">
        <v>249</v>
      </c>
      <c r="AO7" t="s">
        <v>250</v>
      </c>
      <c r="AP7" t="s">
        <v>251</v>
      </c>
      <c r="AQ7" t="s">
        <v>235</v>
      </c>
      <c r="AR7" t="s">
        <v>252</v>
      </c>
      <c r="AS7" t="s">
        <v>253</v>
      </c>
      <c r="AT7" t="s">
        <v>254</v>
      </c>
      <c r="AU7" t="s">
        <v>255</v>
      </c>
      <c r="AV7" s="14" t="s">
        <v>357</v>
      </c>
      <c r="AX7" t="s">
        <v>358</v>
      </c>
      <c r="BB7" s="181" t="s">
        <v>237</v>
      </c>
      <c r="BC7" s="182"/>
      <c r="BD7" s="182"/>
      <c r="BE7" s="183"/>
    </row>
    <row r="8" spans="1:57" x14ac:dyDescent="0.35">
      <c r="A8" s="56" t="s">
        <v>47</v>
      </c>
      <c r="B8" s="56">
        <f>Faial!BD21</f>
        <v>221869</v>
      </c>
      <c r="C8" s="57">
        <f>Faial!BD43</f>
        <v>3937773</v>
      </c>
      <c r="D8" s="56">
        <f t="shared" si="0"/>
        <v>3715904</v>
      </c>
      <c r="E8" s="56">
        <f>Faial!BD24</f>
        <v>216628</v>
      </c>
      <c r="F8" s="56">
        <f t="shared" si="1"/>
        <v>43.325600000000001</v>
      </c>
      <c r="G8" s="56">
        <f t="shared" si="2"/>
        <v>109.91357649980611</v>
      </c>
      <c r="H8" s="56">
        <f t="shared" si="3"/>
        <v>110</v>
      </c>
      <c r="I8" s="56">
        <v>46.97</v>
      </c>
      <c r="J8" s="30">
        <f t="shared" si="4"/>
        <v>5336.0730253353204</v>
      </c>
      <c r="K8" s="144">
        <f t="shared" si="5"/>
        <v>5337</v>
      </c>
      <c r="L8" s="58"/>
      <c r="AG8" t="s">
        <v>260</v>
      </c>
      <c r="AH8">
        <f t="shared" ref="AH8:AH19" si="6">I2*$AD$7</f>
        <v>77308</v>
      </c>
      <c r="AI8">
        <f t="shared" ref="AI8:AI19" si="7">(F2*10^3)*$AE$7</f>
        <v>4150619.9999999995</v>
      </c>
      <c r="AJ8">
        <f>Faial!AX21</f>
        <v>415244</v>
      </c>
      <c r="AK8">
        <v>0</v>
      </c>
      <c r="AL8">
        <f t="shared" ref="AL8:AL19" si="8">C2</f>
        <v>3782515</v>
      </c>
      <c r="AM8">
        <f t="shared" ref="AM8:AM19" si="9">AH8+AI8+AJ8-AL8</f>
        <v>860657</v>
      </c>
      <c r="AN8">
        <f t="shared" ref="AN8:AN19" si="10">AK8+AM8</f>
        <v>860657</v>
      </c>
      <c r="AO8">
        <f t="shared" ref="AO8:AO19" si="11">IF(AN8&lt;0,0,AN8)</f>
        <v>860657</v>
      </c>
      <c r="AP8">
        <f t="shared" ref="AP8:AP19" si="12">IF(AH8+AI8+AJ8+AK8-AL8&gt;0,0,AH8+AI8+AJ8+AK8-AL8)</f>
        <v>0</v>
      </c>
      <c r="AQ8">
        <f>ROUND((-AX8/Batteries!$B$2)*5,0)</f>
        <v>1445</v>
      </c>
      <c r="AR8">
        <f>ROUND((-AX8/Batteries!$B$14),0)</f>
        <v>1558</v>
      </c>
      <c r="AS8">
        <f>ROUND((-AX8/Batteries!$B$26),0)</f>
        <v>3116</v>
      </c>
      <c r="AT8">
        <f>-AX8/Batteries!$I$4</f>
        <v>36.257881144544726</v>
      </c>
      <c r="AU8">
        <f>-AX8/Batteries!$I$11</f>
        <v>32.994431882031108</v>
      </c>
      <c r="AV8">
        <f>-AX8/Batteries!$I$23</f>
        <v>927.52719206974882</v>
      </c>
      <c r="AX8">
        <f>AP61</f>
        <v>-3988.3669258999198</v>
      </c>
      <c r="BB8" s="101" t="s">
        <v>239</v>
      </c>
      <c r="BC8">
        <v>94002.48</v>
      </c>
      <c r="BD8" t="s">
        <v>176</v>
      </c>
      <c r="BE8" s="14"/>
    </row>
    <row r="9" spans="1:57" x14ac:dyDescent="0.35">
      <c r="A9" s="56" t="s">
        <v>48</v>
      </c>
      <c r="B9" s="56">
        <f>Faial!BE21</f>
        <v>173758</v>
      </c>
      <c r="C9" s="57">
        <f>Faial!BE43</f>
        <v>4271695</v>
      </c>
      <c r="D9" s="56">
        <f t="shared" si="0"/>
        <v>4097937</v>
      </c>
      <c r="E9" s="56">
        <f>Faial!BE24</f>
        <v>169967</v>
      </c>
      <c r="F9" s="56">
        <f t="shared" si="1"/>
        <v>33.993400000000001</v>
      </c>
      <c r="G9" s="56">
        <f t="shared" si="2"/>
        <v>140.08812445945389</v>
      </c>
      <c r="H9" s="148">
        <f t="shared" si="3"/>
        <v>141</v>
      </c>
      <c r="I9" s="56">
        <v>47.2</v>
      </c>
      <c r="J9" s="30">
        <f t="shared" si="4"/>
        <v>5310.0709745762706</v>
      </c>
      <c r="K9" s="144">
        <f t="shared" si="5"/>
        <v>5311</v>
      </c>
      <c r="L9" s="58"/>
      <c r="AD9" t="s">
        <v>263</v>
      </c>
      <c r="AE9">
        <f>LARGE(AQ8:AQ19,1)</f>
        <v>34059</v>
      </c>
      <c r="AG9" t="s">
        <v>264</v>
      </c>
      <c r="AH9">
        <f t="shared" si="6"/>
        <v>97482</v>
      </c>
      <c r="AI9">
        <f t="shared" si="7"/>
        <v>2994110</v>
      </c>
      <c r="AJ9">
        <f>Faial!AY21</f>
        <v>307648</v>
      </c>
      <c r="AK9">
        <f t="shared" ref="AK9:AK19" si="13">AO8</f>
        <v>860657</v>
      </c>
      <c r="AL9">
        <f t="shared" si="8"/>
        <v>3544391</v>
      </c>
      <c r="AM9">
        <f t="shared" si="9"/>
        <v>-145151</v>
      </c>
      <c r="AN9">
        <f t="shared" si="10"/>
        <v>715506</v>
      </c>
      <c r="AO9">
        <f t="shared" si="11"/>
        <v>715506</v>
      </c>
      <c r="AP9">
        <f t="shared" si="12"/>
        <v>0</v>
      </c>
      <c r="AQ9">
        <f>ROUND((-AX9/Batteries!$B$2)*5,0)</f>
        <v>5600</v>
      </c>
      <c r="AR9">
        <f>ROUND((-AX9/Batteries!$B$14),0)</f>
        <v>6038</v>
      </c>
      <c r="AS9">
        <f>ROUND((-AX9/Batteries!$B$26),0)</f>
        <v>12076</v>
      </c>
      <c r="AT9">
        <f>-AX9/Batteries!$I$4</f>
        <v>140.51862522495352</v>
      </c>
      <c r="AU9">
        <f>-AX9/Batteries!$I$11</f>
        <v>127.87101898366056</v>
      </c>
      <c r="AV9">
        <f>-AX9/Batteries!$I$23</f>
        <v>3594.6625057546253</v>
      </c>
      <c r="AX9">
        <f>BD61</f>
        <v>-15457.048774744888</v>
      </c>
      <c r="BB9" s="107"/>
      <c r="BC9" s="104" t="s">
        <v>210</v>
      </c>
      <c r="BD9" s="104" t="s">
        <v>211</v>
      </c>
      <c r="BE9" s="105" t="s">
        <v>212</v>
      </c>
    </row>
    <row r="10" spans="1:57" x14ac:dyDescent="0.35">
      <c r="A10" s="56" t="s">
        <v>49</v>
      </c>
      <c r="B10" s="56">
        <f>Faial!BF21</f>
        <v>412818</v>
      </c>
      <c r="C10" s="57">
        <f>Faial!BF43</f>
        <v>4199085</v>
      </c>
      <c r="D10" s="56">
        <f t="shared" si="0"/>
        <v>3786267</v>
      </c>
      <c r="E10" s="56">
        <f>Faial!BF24</f>
        <v>407100</v>
      </c>
      <c r="F10" s="56">
        <f t="shared" si="1"/>
        <v>81.42</v>
      </c>
      <c r="G10" s="56">
        <f t="shared" si="2"/>
        <v>58.487738270695161</v>
      </c>
      <c r="H10" s="56">
        <f t="shared" si="3"/>
        <v>59</v>
      </c>
      <c r="I10" s="56">
        <v>39.85</v>
      </c>
      <c r="J10" s="30">
        <f t="shared" si="4"/>
        <v>6289.4692597239646</v>
      </c>
      <c r="K10" s="144">
        <f t="shared" si="5"/>
        <v>6290</v>
      </c>
      <c r="L10" s="58"/>
      <c r="AD10" t="s">
        <v>267</v>
      </c>
      <c r="AE10">
        <f>LARGE(AR9:AR19,1)</f>
        <v>36720</v>
      </c>
      <c r="AG10" t="s">
        <v>268</v>
      </c>
      <c r="AH10">
        <f t="shared" si="6"/>
        <v>132132</v>
      </c>
      <c r="AI10">
        <f t="shared" si="7"/>
        <v>5909610</v>
      </c>
      <c r="AJ10">
        <f>Faial!AZ21</f>
        <v>642500</v>
      </c>
      <c r="AK10">
        <f t="shared" si="13"/>
        <v>715506</v>
      </c>
      <c r="AL10">
        <f t="shared" si="8"/>
        <v>3820841</v>
      </c>
      <c r="AM10">
        <f t="shared" si="9"/>
        <v>2863401</v>
      </c>
      <c r="AN10">
        <f t="shared" si="10"/>
        <v>3578907</v>
      </c>
      <c r="AO10">
        <f t="shared" si="11"/>
        <v>3578907</v>
      </c>
      <c r="AP10">
        <f t="shared" si="12"/>
        <v>0</v>
      </c>
      <c r="AQ10" s="90">
        <f>ROUND((-AX10/Batteries!$B$2)*5,0)</f>
        <v>34059</v>
      </c>
      <c r="AR10" s="90">
        <f>ROUND((-AX10/Batteries!$B$14),0)</f>
        <v>36720</v>
      </c>
      <c r="AS10" s="90">
        <f>ROUND((-AX10/Batteries!$B$26),0)</f>
        <v>73439</v>
      </c>
      <c r="AT10">
        <f>-AX10/Batteries!$I$4</f>
        <v>854.56803519061611</v>
      </c>
      <c r="AU10">
        <f>-AX10/Batteries!$I$11</f>
        <v>777.65125637795973</v>
      </c>
      <c r="AV10">
        <f>-AX10/Batteries!$I$23</f>
        <v>21861.042760690179</v>
      </c>
      <c r="AX10">
        <f>BR61</f>
        <v>-94002.483870967772</v>
      </c>
      <c r="AZ10">
        <f>-AX10/3</f>
        <v>31334.161290322591</v>
      </c>
      <c r="BB10" s="110" t="s">
        <v>244</v>
      </c>
      <c r="BC10" s="101">
        <v>34059</v>
      </c>
      <c r="BD10" s="101">
        <v>36720</v>
      </c>
      <c r="BE10" s="106">
        <v>73439</v>
      </c>
    </row>
    <row r="11" spans="1:57" x14ac:dyDescent="0.35">
      <c r="A11" s="56" t="s">
        <v>50</v>
      </c>
      <c r="B11" s="56">
        <f>Faial!BG21</f>
        <v>515675</v>
      </c>
      <c r="C11" s="57">
        <f>Faial!BG43</f>
        <v>3937708</v>
      </c>
      <c r="D11" s="56">
        <f t="shared" si="0"/>
        <v>3422033</v>
      </c>
      <c r="E11" s="56">
        <f>Faial!BG24</f>
        <v>500718</v>
      </c>
      <c r="F11" s="56">
        <f t="shared" si="1"/>
        <v>100.14360000000001</v>
      </c>
      <c r="G11" s="56">
        <f t="shared" si="2"/>
        <v>47.552431208784185</v>
      </c>
      <c r="H11" s="56">
        <f t="shared" si="3"/>
        <v>48</v>
      </c>
      <c r="I11" s="56">
        <v>30.68</v>
      </c>
      <c r="J11" s="30">
        <f t="shared" si="4"/>
        <v>8169.3399608865711</v>
      </c>
      <c r="K11" s="144">
        <f t="shared" si="5"/>
        <v>8170</v>
      </c>
      <c r="L11" s="58"/>
      <c r="AD11" t="s">
        <v>269</v>
      </c>
      <c r="AE11">
        <f>LARGE(AS8:AS19,1)</f>
        <v>73439</v>
      </c>
      <c r="AG11" t="s">
        <v>270</v>
      </c>
      <c r="AH11">
        <f t="shared" si="6"/>
        <v>154924</v>
      </c>
      <c r="AI11">
        <f t="shared" si="7"/>
        <v>6227850</v>
      </c>
      <c r="AJ11">
        <f>Faial!BA21</f>
        <v>666103</v>
      </c>
      <c r="AK11">
        <f t="shared" si="13"/>
        <v>3578907</v>
      </c>
      <c r="AL11">
        <f t="shared" si="8"/>
        <v>3743867</v>
      </c>
      <c r="AM11">
        <f t="shared" si="9"/>
        <v>3305010</v>
      </c>
      <c r="AN11">
        <f t="shared" si="10"/>
        <v>6883917</v>
      </c>
      <c r="AO11">
        <f t="shared" si="11"/>
        <v>6883917</v>
      </c>
      <c r="AP11">
        <f t="shared" si="12"/>
        <v>0</v>
      </c>
      <c r="AQ11">
        <f>ROUND((-AX11/Batteries!$B$2)*5,0)</f>
        <v>0</v>
      </c>
      <c r="AR11">
        <f>ROUND((-AX11/Batteries!$B$14),0)</f>
        <v>0</v>
      </c>
      <c r="AS11">
        <f>ROUND((-AX11/Batteries!$B$26),0)</f>
        <v>0</v>
      </c>
      <c r="AT11">
        <f>-AX11/Batteries!$I$4</f>
        <v>0</v>
      </c>
      <c r="AU11">
        <f>-AX11/Batteries!$I$11</f>
        <v>0</v>
      </c>
      <c r="AV11">
        <f>-AX11/Batteries!$I$23</f>
        <v>0</v>
      </c>
      <c r="AX11">
        <f>CF61</f>
        <v>0</v>
      </c>
      <c r="AZ11" t="s">
        <v>359</v>
      </c>
      <c r="BB11" s="107" t="s">
        <v>258</v>
      </c>
      <c r="BC11" s="101">
        <v>777.65</v>
      </c>
      <c r="BD11" s="111" t="s">
        <v>259</v>
      </c>
      <c r="BE11" s="112"/>
    </row>
    <row r="12" spans="1:57" x14ac:dyDescent="0.35">
      <c r="A12" s="56" t="s">
        <v>51</v>
      </c>
      <c r="B12" s="56">
        <f>Faial!BH21</f>
        <v>502834</v>
      </c>
      <c r="C12" s="57">
        <f>Faial!BH43</f>
        <v>3733008</v>
      </c>
      <c r="D12" s="56">
        <f t="shared" si="0"/>
        <v>3230174</v>
      </c>
      <c r="E12" s="56">
        <f>Faial!BH24</f>
        <v>473557</v>
      </c>
      <c r="F12" s="56">
        <f t="shared" si="1"/>
        <v>94.711399999999998</v>
      </c>
      <c r="G12" s="56">
        <f t="shared" si="2"/>
        <v>50.279814784703845</v>
      </c>
      <c r="H12" s="56">
        <f t="shared" si="3"/>
        <v>51</v>
      </c>
      <c r="I12" s="56">
        <v>22.6</v>
      </c>
      <c r="J12" s="30">
        <f t="shared" si="4"/>
        <v>11090.059734513274</v>
      </c>
      <c r="K12" s="144">
        <f t="shared" si="5"/>
        <v>11091</v>
      </c>
      <c r="L12" s="58"/>
      <c r="AG12" t="s">
        <v>272</v>
      </c>
      <c r="AH12">
        <f t="shared" si="6"/>
        <v>167475</v>
      </c>
      <c r="AI12">
        <f t="shared" si="7"/>
        <v>5036980</v>
      </c>
      <c r="AJ12">
        <f>Faial!BB21</f>
        <v>527788</v>
      </c>
      <c r="AK12">
        <f t="shared" si="13"/>
        <v>6883917</v>
      </c>
      <c r="AL12">
        <f t="shared" si="8"/>
        <v>1988599</v>
      </c>
      <c r="AM12">
        <f t="shared" si="9"/>
        <v>3743644</v>
      </c>
      <c r="AN12">
        <f t="shared" si="10"/>
        <v>10627561</v>
      </c>
      <c r="AO12">
        <f t="shared" si="11"/>
        <v>10627561</v>
      </c>
      <c r="AP12">
        <f t="shared" si="12"/>
        <v>0</v>
      </c>
      <c r="AQ12">
        <f>ROUND((-AX12/Batteries!$B$2)*5,0)</f>
        <v>0</v>
      </c>
      <c r="AR12">
        <f>ROUND((-AX12/Batteries!$B$14),0)</f>
        <v>0</v>
      </c>
      <c r="AS12">
        <f>ROUND((-AX12/Batteries!$B$26),0)</f>
        <v>0</v>
      </c>
      <c r="AT12">
        <f>-AX12/Batteries!$I$4</f>
        <v>0</v>
      </c>
      <c r="AU12">
        <f>-AX12/Batteries!$I$11</f>
        <v>0</v>
      </c>
      <c r="AV12">
        <f>-AX12/Batteries!$I$23</f>
        <v>0</v>
      </c>
      <c r="AX12">
        <f>AP112</f>
        <v>0</v>
      </c>
      <c r="BB12" s="108" t="s">
        <v>261</v>
      </c>
      <c r="BC12" s="101">
        <v>21861.042760690179</v>
      </c>
      <c r="BD12" s="113" t="s">
        <v>262</v>
      </c>
      <c r="BE12" s="112"/>
    </row>
    <row r="13" spans="1:57" x14ac:dyDescent="0.35">
      <c r="A13" s="56" t="s">
        <v>52</v>
      </c>
      <c r="B13" s="56">
        <f>Faial!BI21</f>
        <v>666344</v>
      </c>
      <c r="C13" s="57">
        <f>Faial!BI43</f>
        <v>3568006</v>
      </c>
      <c r="D13" s="56">
        <f t="shared" si="0"/>
        <v>2901662</v>
      </c>
      <c r="E13" s="56">
        <f>Faial!BI24</f>
        <v>627525</v>
      </c>
      <c r="F13" s="56">
        <f t="shared" si="1"/>
        <v>125.50500000000001</v>
      </c>
      <c r="G13" s="56">
        <f t="shared" si="2"/>
        <v>37.943282339349025</v>
      </c>
      <c r="H13" s="56">
        <f t="shared" si="3"/>
        <v>38</v>
      </c>
      <c r="I13" s="56">
        <v>18</v>
      </c>
      <c r="J13" s="30">
        <f t="shared" si="4"/>
        <v>13924.186111111112</v>
      </c>
      <c r="K13" s="152">
        <f t="shared" si="5"/>
        <v>13925</v>
      </c>
      <c r="L13" s="58"/>
      <c r="AG13" t="s">
        <v>273</v>
      </c>
      <c r="AH13">
        <f t="shared" si="6"/>
        <v>168052.5</v>
      </c>
      <c r="AI13">
        <f t="shared" si="7"/>
        <v>4830760</v>
      </c>
      <c r="AJ13">
        <f>Faial!BC21</f>
        <v>486492</v>
      </c>
      <c r="AK13">
        <f t="shared" si="13"/>
        <v>10627561</v>
      </c>
      <c r="AL13">
        <f t="shared" si="8"/>
        <v>5499199</v>
      </c>
      <c r="AM13">
        <f t="shared" si="9"/>
        <v>-13894.5</v>
      </c>
      <c r="AN13">
        <f t="shared" si="10"/>
        <v>10613666.5</v>
      </c>
      <c r="AO13">
        <f t="shared" si="11"/>
        <v>10613666.5</v>
      </c>
      <c r="AP13">
        <f t="shared" si="12"/>
        <v>0</v>
      </c>
      <c r="AQ13">
        <f>ROUND((-AX13/Batteries!$B$2)*5,0)</f>
        <v>7580</v>
      </c>
      <c r="AR13">
        <f>ROUND((-AX13/Batteries!$B$14),0)</f>
        <v>8172</v>
      </c>
      <c r="AS13">
        <f>ROUND((-AX13/Batteries!$B$26),0)</f>
        <v>16344</v>
      </c>
      <c r="AT13">
        <f>-AX13/Batteries!$I$4</f>
        <v>190.18488464056597</v>
      </c>
      <c r="AU13">
        <f>-AX13/Batteries!$I$11</f>
        <v>173.06698635392337</v>
      </c>
      <c r="AV13">
        <f>-AX13/Batteries!$I$23</f>
        <v>4865.1947233633155</v>
      </c>
      <c r="AX13">
        <f>BD112</f>
        <v>-20920.337310462255</v>
      </c>
      <c r="BB13" s="184" t="s">
        <v>265</v>
      </c>
      <c r="BC13" s="90" t="s">
        <v>210</v>
      </c>
      <c r="BD13" s="90" t="s">
        <v>266</v>
      </c>
      <c r="BE13" s="102" t="s">
        <v>261</v>
      </c>
    </row>
    <row r="14" spans="1:57" x14ac:dyDescent="0.35">
      <c r="AG14" t="s">
        <v>275</v>
      </c>
      <c r="AH14">
        <f t="shared" si="6"/>
        <v>180834.5</v>
      </c>
      <c r="AI14">
        <f t="shared" si="7"/>
        <v>2166280</v>
      </c>
      <c r="AJ14">
        <f>Faial!BD21</f>
        <v>221869</v>
      </c>
      <c r="AK14">
        <f t="shared" si="13"/>
        <v>10613666.5</v>
      </c>
      <c r="AL14">
        <f t="shared" si="8"/>
        <v>3937773</v>
      </c>
      <c r="AM14">
        <f t="shared" si="9"/>
        <v>-1368789.5</v>
      </c>
      <c r="AN14">
        <f t="shared" si="10"/>
        <v>9244877</v>
      </c>
      <c r="AO14">
        <f t="shared" si="11"/>
        <v>9244877</v>
      </c>
      <c r="AP14">
        <f t="shared" si="12"/>
        <v>0</v>
      </c>
      <c r="AQ14" s="90">
        <f>ROUND((-AX14/Batteries!$B$2)*5,0)</f>
        <v>15928</v>
      </c>
      <c r="AR14" s="90">
        <f>ROUND((-AX14/Batteries!$B$14),0)</f>
        <v>17172</v>
      </c>
      <c r="AS14" s="90">
        <f>ROUND((-AX14/Batteries!$B$26),0)</f>
        <v>34344</v>
      </c>
      <c r="AT14">
        <f>-AX14/Batteries!$I$4</f>
        <v>399.63685728250249</v>
      </c>
      <c r="AU14">
        <f>-AX14/Batteries!$I$11</f>
        <v>363.66689527692984</v>
      </c>
      <c r="AV14">
        <f>-AX14/Batteries!$I$23</f>
        <v>10223.26844211053</v>
      </c>
      <c r="AX14">
        <f>BR112</f>
        <v>-43960.054301075274</v>
      </c>
      <c r="BB14" s="184"/>
      <c r="BC14" s="90">
        <f>ROUND(AZ10/Batteries!B2,0)</f>
        <v>2271</v>
      </c>
      <c r="BD14" s="90">
        <f>AZ10/Batteries!I4</f>
        <v>284.85601173020535</v>
      </c>
      <c r="BE14" s="103">
        <f>AZ10/Batteries!I23</f>
        <v>7287.0142535633931</v>
      </c>
    </row>
    <row r="15" spans="1:57" x14ac:dyDescent="0.35">
      <c r="AG15" t="s">
        <v>281</v>
      </c>
      <c r="AH15">
        <f t="shared" si="6"/>
        <v>181720</v>
      </c>
      <c r="AI15">
        <f t="shared" si="7"/>
        <v>1699670</v>
      </c>
      <c r="AJ15">
        <f>Faial!BE21</f>
        <v>173758</v>
      </c>
      <c r="AK15">
        <f t="shared" si="13"/>
        <v>9244877</v>
      </c>
      <c r="AL15">
        <f t="shared" si="8"/>
        <v>4271695</v>
      </c>
      <c r="AM15">
        <f t="shared" si="9"/>
        <v>-2216547</v>
      </c>
      <c r="AN15">
        <f t="shared" si="10"/>
        <v>7028330</v>
      </c>
      <c r="AO15">
        <f t="shared" si="11"/>
        <v>7028330</v>
      </c>
      <c r="AP15">
        <f t="shared" si="12"/>
        <v>0</v>
      </c>
      <c r="AQ15" s="90">
        <f>ROUND((-AX15/Batteries!$B$2)*5,0)</f>
        <v>25906</v>
      </c>
      <c r="AR15" s="90">
        <f>ROUND((-AX15/Batteries!$B$14),0)</f>
        <v>27930</v>
      </c>
      <c r="AS15" s="90">
        <f>ROUND((-AX15/Batteries!$B$26),0)</f>
        <v>55861</v>
      </c>
      <c r="AT15">
        <f>-AX15/Batteries!$I$4</f>
        <v>650.01378299120256</v>
      </c>
      <c r="AU15">
        <f>-AX15/Batteries!$I$11</f>
        <v>591.50824064388064</v>
      </c>
      <c r="AV15">
        <f>-AX15/Batteries!$I$23</f>
        <v>16628.259564891228</v>
      </c>
      <c r="AX15">
        <f>CF112</f>
        <v>-71501.516129032287</v>
      </c>
      <c r="BB15" s="35"/>
      <c r="BC15" s="15" t="s">
        <v>271</v>
      </c>
      <c r="BD15" s="15" t="s">
        <v>259</v>
      </c>
      <c r="BE15" s="16" t="s">
        <v>262</v>
      </c>
    </row>
    <row r="16" spans="1:57" x14ac:dyDescent="0.35">
      <c r="F16" s="59" t="s">
        <v>284</v>
      </c>
      <c r="G16" s="60" t="s">
        <v>285</v>
      </c>
      <c r="AG16" t="s">
        <v>286</v>
      </c>
      <c r="AH16">
        <f t="shared" si="6"/>
        <v>153422.5</v>
      </c>
      <c r="AI16">
        <f t="shared" si="7"/>
        <v>4071000</v>
      </c>
      <c r="AJ16">
        <f>Faial!BF21</f>
        <v>412818</v>
      </c>
      <c r="AK16">
        <f t="shared" si="13"/>
        <v>7028330</v>
      </c>
      <c r="AL16">
        <f t="shared" si="8"/>
        <v>4199085</v>
      </c>
      <c r="AM16">
        <f t="shared" si="9"/>
        <v>438155.5</v>
      </c>
      <c r="AN16">
        <f t="shared" si="10"/>
        <v>7466485.5</v>
      </c>
      <c r="AO16">
        <f t="shared" si="11"/>
        <v>7466485.5</v>
      </c>
      <c r="AP16">
        <f t="shared" si="12"/>
        <v>0</v>
      </c>
      <c r="AQ16">
        <f>ROUND((-AX16/Batteries!$B$2)*5,0)</f>
        <v>2722</v>
      </c>
      <c r="AR16">
        <f>ROUND((-AX16/Batteries!$B$14),0)</f>
        <v>2934</v>
      </c>
      <c r="AS16">
        <f>ROUND((-AX16/Batteries!$B$26),0)</f>
        <v>5868</v>
      </c>
      <c r="AT16">
        <f>-AX16/Batteries!$I$4</f>
        <v>68.286112029118655</v>
      </c>
      <c r="AU16">
        <f>-AX16/Batteries!$I$11</f>
        <v>62.13991001987965</v>
      </c>
      <c r="AV16">
        <f>-AX16/Batteries!$I$23</f>
        <v>1746.8540286518726</v>
      </c>
      <c r="AX16">
        <f>AP164</f>
        <v>-7511.4723232030519</v>
      </c>
    </row>
    <row r="17" spans="6:82" x14ac:dyDescent="0.35">
      <c r="F17" s="61" t="s">
        <v>287</v>
      </c>
      <c r="G17" s="62" t="s">
        <v>360</v>
      </c>
      <c r="H17" s="150"/>
      <c r="AG17" t="s">
        <v>289</v>
      </c>
      <c r="AH17">
        <f t="shared" si="6"/>
        <v>118118</v>
      </c>
      <c r="AI17">
        <f t="shared" si="7"/>
        <v>5007180</v>
      </c>
      <c r="AJ17">
        <f>Faial!BG21</f>
        <v>515675</v>
      </c>
      <c r="AK17">
        <f t="shared" si="13"/>
        <v>7466485.5</v>
      </c>
      <c r="AL17">
        <f t="shared" si="8"/>
        <v>3937708</v>
      </c>
      <c r="AM17">
        <f t="shared" si="9"/>
        <v>1703265</v>
      </c>
      <c r="AN17">
        <f t="shared" si="10"/>
        <v>9169750.5</v>
      </c>
      <c r="AO17">
        <f t="shared" si="11"/>
        <v>9169750.5</v>
      </c>
      <c r="AP17">
        <f t="shared" si="12"/>
        <v>0</v>
      </c>
      <c r="AQ17">
        <f>ROUND((-AX17/Batteries!$B$2)*5,0)</f>
        <v>924</v>
      </c>
      <c r="AR17">
        <f>ROUND((-AX17/Batteries!$B$14),0)</f>
        <v>996</v>
      </c>
      <c r="AS17">
        <f>ROUND((-AX17/Batteries!$B$26),0)</f>
        <v>1992</v>
      </c>
      <c r="AT17">
        <f>-AX17/Batteries!$I$4</f>
        <v>23.184965947746424</v>
      </c>
      <c r="AU17">
        <f>-AX17/Batteries!$I$11</f>
        <v>21.09816557124509</v>
      </c>
      <c r="AV17">
        <f>-AX17/Batteries!$I$23</f>
        <v>593.10378005862947</v>
      </c>
      <c r="AX17">
        <f>BD164</f>
        <v>-2550.3462542521065</v>
      </c>
      <c r="BB17" s="31" t="s">
        <v>274</v>
      </c>
      <c r="BC17" s="32"/>
      <c r="BD17" s="3"/>
    </row>
    <row r="18" spans="6:82" x14ac:dyDescent="0.35">
      <c r="F18" s="59" t="s">
        <v>290</v>
      </c>
      <c r="G18" s="60" t="s">
        <v>291</v>
      </c>
      <c r="AG18" t="s">
        <v>292</v>
      </c>
      <c r="AH18">
        <f t="shared" si="6"/>
        <v>87010</v>
      </c>
      <c r="AI18">
        <f t="shared" si="7"/>
        <v>4735570</v>
      </c>
      <c r="AJ18">
        <f>Faial!BH21</f>
        <v>502834</v>
      </c>
      <c r="AK18">
        <f t="shared" si="13"/>
        <v>9169750.5</v>
      </c>
      <c r="AL18">
        <f t="shared" si="8"/>
        <v>3733008</v>
      </c>
      <c r="AM18">
        <f t="shared" si="9"/>
        <v>1592406</v>
      </c>
      <c r="AN18">
        <f t="shared" si="10"/>
        <v>10762156.5</v>
      </c>
      <c r="AO18">
        <f t="shared" si="11"/>
        <v>10762156.5</v>
      </c>
      <c r="AP18">
        <f t="shared" si="12"/>
        <v>0</v>
      </c>
      <c r="AQ18">
        <f>ROUND((-AX18/Batteries!$B$2)*5,0)</f>
        <v>304</v>
      </c>
      <c r="AR18">
        <f>ROUND((-AX18/Batteries!$B$14),0)</f>
        <v>328</v>
      </c>
      <c r="AS18">
        <f>ROUND((-AX18/Batteries!$B$26),0)</f>
        <v>656</v>
      </c>
      <c r="AT18">
        <f>-AX18/Batteries!$I$4</f>
        <v>7.6288224483053542</v>
      </c>
      <c r="AU18">
        <f>-AX18/Batteries!$I$11</f>
        <v>6.9421779393910406</v>
      </c>
      <c r="AV18">
        <f>-AX18/Batteries!$I$23</f>
        <v>195.15592309618347</v>
      </c>
      <c r="AX18">
        <f>BR164</f>
        <v>-839.17046931358891</v>
      </c>
      <c r="BB18" s="33"/>
      <c r="BD18" s="14"/>
    </row>
    <row r="19" spans="6:82" x14ac:dyDescent="0.35">
      <c r="F19" s="61" t="s">
        <v>293</v>
      </c>
      <c r="G19" s="62" t="s">
        <v>294</v>
      </c>
      <c r="H19" s="150"/>
      <c r="AG19" t="s">
        <v>295</v>
      </c>
      <c r="AH19">
        <f t="shared" si="6"/>
        <v>69300</v>
      </c>
      <c r="AI19">
        <f t="shared" si="7"/>
        <v>6275250.0000000009</v>
      </c>
      <c r="AJ19">
        <f>Faial!BI21</f>
        <v>666344</v>
      </c>
      <c r="AK19">
        <f t="shared" si="13"/>
        <v>10762156.5</v>
      </c>
      <c r="AL19">
        <f t="shared" si="8"/>
        <v>3568006</v>
      </c>
      <c r="AM19">
        <f t="shared" si="9"/>
        <v>3442888.0000000009</v>
      </c>
      <c r="AN19">
        <f t="shared" si="10"/>
        <v>14205044.5</v>
      </c>
      <c r="AO19">
        <f t="shared" si="11"/>
        <v>14205044.5</v>
      </c>
      <c r="AP19">
        <f t="shared" si="12"/>
        <v>0</v>
      </c>
      <c r="AQ19">
        <f>ROUND((-AX19/Batteries!$B$2)*5,0)</f>
        <v>0</v>
      </c>
      <c r="AR19">
        <f>ROUND((-AX19/Batteries!$B$14),0)</f>
        <v>0</v>
      </c>
      <c r="AS19">
        <f>ROUND((-AX19/Batteries!$B$26),0)</f>
        <v>0</v>
      </c>
      <c r="AT19">
        <f>-AX19/Batteries!$I$4</f>
        <v>0</v>
      </c>
      <c r="AU19">
        <f>-AX19/Batteries!$I$11</f>
        <v>0</v>
      </c>
      <c r="AV19">
        <f>-AX19/Batteries!$I$23</f>
        <v>0</v>
      </c>
      <c r="AX19">
        <f>CF164</f>
        <v>0</v>
      </c>
      <c r="BB19" s="35" t="s">
        <v>282</v>
      </c>
      <c r="BC19" s="15" t="s">
        <v>361</v>
      </c>
      <c r="BD19" s="16"/>
    </row>
    <row r="20" spans="6:82" x14ac:dyDescent="0.35">
      <c r="F20" s="59" t="s">
        <v>296</v>
      </c>
      <c r="G20" s="60" t="s">
        <v>297</v>
      </c>
    </row>
    <row r="21" spans="6:82" x14ac:dyDescent="0.35">
      <c r="F21" s="61" t="s">
        <v>298</v>
      </c>
      <c r="G21" s="62" t="s">
        <v>299</v>
      </c>
      <c r="H21" s="150"/>
    </row>
    <row r="22" spans="6:82" x14ac:dyDescent="0.35">
      <c r="F22" s="59" t="s">
        <v>300</v>
      </c>
      <c r="G22" s="60" t="s">
        <v>301</v>
      </c>
    </row>
    <row r="23" spans="6:82" x14ac:dyDescent="0.35">
      <c r="F23" s="61" t="s">
        <v>302</v>
      </c>
      <c r="G23" s="62" t="s">
        <v>285</v>
      </c>
      <c r="H23" s="150"/>
    </row>
    <row r="24" spans="6:82" x14ac:dyDescent="0.35">
      <c r="F24" s="59" t="s">
        <v>303</v>
      </c>
      <c r="G24" s="60" t="s">
        <v>362</v>
      </c>
    </row>
    <row r="25" spans="6:82" x14ac:dyDescent="0.35">
      <c r="F25" s="61" t="s">
        <v>305</v>
      </c>
      <c r="G25" s="62" t="s">
        <v>363</v>
      </c>
      <c r="H25" s="150"/>
    </row>
    <row r="26" spans="6:82" x14ac:dyDescent="0.35">
      <c r="F26" s="59" t="s">
        <v>307</v>
      </c>
      <c r="G26" s="60" t="s">
        <v>364</v>
      </c>
      <c r="Y26" s="64" t="s">
        <v>492</v>
      </c>
    </row>
    <row r="27" spans="6:82" x14ac:dyDescent="0.35">
      <c r="F27" s="61" t="s">
        <v>309</v>
      </c>
      <c r="G27" s="62" t="s">
        <v>365</v>
      </c>
      <c r="H27" s="150"/>
    </row>
    <row r="28" spans="6:82" x14ac:dyDescent="0.35">
      <c r="F28" s="59" t="s">
        <v>311</v>
      </c>
      <c r="G28" s="60" t="s">
        <v>366</v>
      </c>
      <c r="AF28">
        <f>9*8*29.6</f>
        <v>2131.2000000000003</v>
      </c>
    </row>
    <row r="29" spans="6:82" x14ac:dyDescent="0.35">
      <c r="F29" s="61" t="s">
        <v>313</v>
      </c>
      <c r="G29" s="62" t="s">
        <v>285</v>
      </c>
      <c r="H29" s="150"/>
    </row>
    <row r="30" spans="6:82" x14ac:dyDescent="0.35">
      <c r="F30" s="59" t="s">
        <v>316</v>
      </c>
      <c r="G30" s="60" t="s">
        <v>367</v>
      </c>
      <c r="AN30" t="s">
        <v>164</v>
      </c>
      <c r="BB30" t="s">
        <v>142</v>
      </c>
      <c r="BP30" t="s">
        <v>167</v>
      </c>
      <c r="CD30" t="s">
        <v>169</v>
      </c>
    </row>
    <row r="31" spans="6:82" x14ac:dyDescent="0.35">
      <c r="F31" s="61" t="s">
        <v>319</v>
      </c>
      <c r="G31" s="62" t="s">
        <v>320</v>
      </c>
      <c r="H31" s="150"/>
    </row>
    <row r="32" spans="6:82" x14ac:dyDescent="0.35">
      <c r="F32" s="59" t="s">
        <v>321</v>
      </c>
      <c r="G32" s="60" t="s">
        <v>368</v>
      </c>
      <c r="AH32" s="81" t="s">
        <v>326</v>
      </c>
      <c r="AJ32" t="s">
        <v>240</v>
      </c>
      <c r="AK32">
        <f>AD7</f>
        <v>3850</v>
      </c>
    </row>
    <row r="33" spans="6:93" x14ac:dyDescent="0.35">
      <c r="F33" s="61" t="s">
        <v>323</v>
      </c>
      <c r="G33" s="62" t="s">
        <v>369</v>
      </c>
      <c r="H33" s="150"/>
      <c r="AH33" s="81" t="s">
        <v>327</v>
      </c>
      <c r="AJ33" t="s">
        <v>328</v>
      </c>
      <c r="AK33">
        <f>(AK32*11000)/2160</f>
        <v>19606.481481481482</v>
      </c>
    </row>
    <row r="34" spans="6:93" x14ac:dyDescent="0.35">
      <c r="F34" s="59" t="s">
        <v>325</v>
      </c>
      <c r="G34" s="60" t="s">
        <v>285</v>
      </c>
      <c r="AJ34" t="s">
        <v>329</v>
      </c>
      <c r="AK34">
        <f>AK33*10^-6</f>
        <v>1.9606481481481482E-2</v>
      </c>
    </row>
    <row r="35" spans="6:93" x14ac:dyDescent="0.35">
      <c r="Y35">
        <f>4*1.5*29.6</f>
        <v>177.60000000000002</v>
      </c>
    </row>
    <row r="37" spans="6:93" x14ac:dyDescent="0.35">
      <c r="AO37" t="s">
        <v>181</v>
      </c>
      <c r="AP37">
        <v>122016.6129032258</v>
      </c>
      <c r="BD37" t="s">
        <v>181</v>
      </c>
      <c r="BE37">
        <v>126585.39285714286</v>
      </c>
      <c r="BR37" t="s">
        <v>181</v>
      </c>
      <c r="BS37">
        <v>123252.93548387097</v>
      </c>
      <c r="CF37" t="s">
        <v>181</v>
      </c>
      <c r="CG37">
        <v>124795.56666666667</v>
      </c>
    </row>
    <row r="38" spans="6:93" x14ac:dyDescent="0.35">
      <c r="AB38" t="s">
        <v>330</v>
      </c>
      <c r="AC38">
        <f>Y35*AF28</f>
        <v>378501.12000000011</v>
      </c>
      <c r="AO38" t="s">
        <v>201</v>
      </c>
      <c r="AP38">
        <f>13389.096+AI8/31</f>
        <v>147280.06374193545</v>
      </c>
      <c r="BD38" t="s">
        <v>201</v>
      </c>
      <c r="BE38">
        <f>10693.25+AI9/28</f>
        <v>117625.75</v>
      </c>
      <c r="BR38" t="s">
        <v>201</v>
      </c>
      <c r="BS38">
        <f>19063.2580645161+AH10/31</f>
        <v>23325.580645161259</v>
      </c>
      <c r="CF38" t="s">
        <v>201</v>
      </c>
      <c r="CG38">
        <f>20759.5+AI11/30</f>
        <v>228354.5</v>
      </c>
    </row>
    <row r="39" spans="6:93" x14ac:dyDescent="0.35">
      <c r="AB39" t="s">
        <v>329</v>
      </c>
      <c r="AC39">
        <f>AC38*10^-6</f>
        <v>0.37850112000000008</v>
      </c>
      <c r="AO39" t="s">
        <v>93</v>
      </c>
      <c r="AP39">
        <f>5.87096774193548+AH8/31</f>
        <v>2499.677419354839</v>
      </c>
      <c r="BD39" t="s">
        <v>93</v>
      </c>
      <c r="BE39">
        <f>14.1071428571429+AH9/28</f>
        <v>3495.6071428571431</v>
      </c>
      <c r="BR39" t="s">
        <v>93</v>
      </c>
      <c r="BS39">
        <f>19.8387096774194+AH10/31</f>
        <v>4282.1612903225805</v>
      </c>
      <c r="CF39" t="s">
        <v>93</v>
      </c>
      <c r="CG39">
        <f>43.9+AH11/30</f>
        <v>5208.0333333333328</v>
      </c>
    </row>
    <row r="40" spans="6:93" x14ac:dyDescent="0.35">
      <c r="AO40" t="s">
        <v>170</v>
      </c>
      <c r="AP40">
        <v>0</v>
      </c>
      <c r="BD40" t="s">
        <v>170</v>
      </c>
      <c r="BE40">
        <v>0</v>
      </c>
      <c r="BR40" t="s">
        <v>170</v>
      </c>
      <c r="BS40">
        <v>0</v>
      </c>
      <c r="CF40" t="s">
        <v>170</v>
      </c>
      <c r="CG40">
        <v>0</v>
      </c>
    </row>
    <row r="41" spans="6:93" x14ac:dyDescent="0.35">
      <c r="AO41" t="s">
        <v>172</v>
      </c>
      <c r="AP41">
        <v>0</v>
      </c>
      <c r="BD41" t="s">
        <v>172</v>
      </c>
      <c r="BE41">
        <v>280.07142857142856</v>
      </c>
      <c r="BR41" t="s">
        <v>172</v>
      </c>
      <c r="BS41">
        <v>1642.7096774193549</v>
      </c>
      <c r="CF41" t="s">
        <v>172</v>
      </c>
      <c r="CG41">
        <v>1400.0333333333333</v>
      </c>
    </row>
    <row r="42" spans="6:93" x14ac:dyDescent="0.35">
      <c r="AB42" s="86" t="s">
        <v>370</v>
      </c>
      <c r="AC42" t="s">
        <v>491</v>
      </c>
    </row>
    <row r="46" spans="6:93" x14ac:dyDescent="0.35">
      <c r="AP46" t="s">
        <v>154</v>
      </c>
      <c r="AQ46" t="s">
        <v>155</v>
      </c>
      <c r="AR46" t="s">
        <v>156</v>
      </c>
      <c r="AS46" t="s">
        <v>157</v>
      </c>
      <c r="AT46" t="s">
        <v>158</v>
      </c>
      <c r="AU46" t="s">
        <v>159</v>
      </c>
      <c r="AV46" t="s">
        <v>160</v>
      </c>
      <c r="AW46" t="s">
        <v>161</v>
      </c>
      <c r="AX46" t="s">
        <v>162</v>
      </c>
      <c r="AY46" t="s">
        <v>163</v>
      </c>
      <c r="BD46" t="s">
        <v>154</v>
      </c>
      <c r="BE46" t="s">
        <v>155</v>
      </c>
      <c r="BF46" t="s">
        <v>156</v>
      </c>
      <c r="BG46" t="s">
        <v>157</v>
      </c>
      <c r="BH46" t="s">
        <v>158</v>
      </c>
      <c r="BI46" t="s">
        <v>159</v>
      </c>
      <c r="BJ46" t="s">
        <v>160</v>
      </c>
      <c r="BK46" t="s">
        <v>161</v>
      </c>
      <c r="BL46" t="s">
        <v>162</v>
      </c>
      <c r="BM46" t="s">
        <v>163</v>
      </c>
      <c r="BR46" t="s">
        <v>154</v>
      </c>
      <c r="BS46" t="s">
        <v>155</v>
      </c>
      <c r="BT46" t="s">
        <v>156</v>
      </c>
      <c r="BU46" t="s">
        <v>157</v>
      </c>
      <c r="BV46" t="s">
        <v>158</v>
      </c>
      <c r="BW46" t="s">
        <v>159</v>
      </c>
      <c r="BX46" t="s">
        <v>160</v>
      </c>
      <c r="BY46" t="s">
        <v>161</v>
      </c>
      <c r="BZ46" t="s">
        <v>162</v>
      </c>
      <c r="CA46" t="s">
        <v>163</v>
      </c>
      <c r="CF46" t="s">
        <v>154</v>
      </c>
      <c r="CG46" t="s">
        <v>155</v>
      </c>
      <c r="CH46" t="s">
        <v>156</v>
      </c>
      <c r="CI46" t="s">
        <v>157</v>
      </c>
      <c r="CJ46" t="s">
        <v>158</v>
      </c>
      <c r="CK46" t="s">
        <v>159</v>
      </c>
      <c r="CL46" t="s">
        <v>160</v>
      </c>
      <c r="CM46" t="s">
        <v>161</v>
      </c>
      <c r="CN46" t="s">
        <v>162</v>
      </c>
      <c r="CO46" t="s">
        <v>163</v>
      </c>
    </row>
    <row r="47" spans="6:93" x14ac:dyDescent="0.35">
      <c r="AO47" t="s">
        <v>181</v>
      </c>
      <c r="AP47">
        <v>8.6330935251798566E-2</v>
      </c>
      <c r="AQ47">
        <v>7.1942446043165464E-2</v>
      </c>
      <c r="AR47">
        <v>7.1942446043165464E-2</v>
      </c>
      <c r="AS47">
        <v>7.9136690647482008E-2</v>
      </c>
      <c r="AT47">
        <v>0.10071942446043165</v>
      </c>
      <c r="AU47">
        <v>0.1079136690647482</v>
      </c>
      <c r="AV47">
        <v>0.1079136690647482</v>
      </c>
      <c r="AW47">
        <v>0.11510791366906475</v>
      </c>
      <c r="AX47">
        <v>0.12949640287769784</v>
      </c>
      <c r="AY47">
        <v>0.12949640287769784</v>
      </c>
      <c r="BC47" t="s">
        <v>181</v>
      </c>
      <c r="BD47">
        <v>8.9552238805970144E-2</v>
      </c>
      <c r="BE47">
        <v>7.4626865671641784E-2</v>
      </c>
      <c r="BF47">
        <v>7.4626865671641784E-2</v>
      </c>
      <c r="BG47">
        <v>8.2089552238805971E-2</v>
      </c>
      <c r="BH47">
        <v>9.7014925373134331E-2</v>
      </c>
      <c r="BI47">
        <v>0.1044776119402985</v>
      </c>
      <c r="BJ47">
        <v>0.1044776119402985</v>
      </c>
      <c r="BK47">
        <v>0.1044776119402985</v>
      </c>
      <c r="BL47">
        <v>0.13432835820895522</v>
      </c>
      <c r="BM47">
        <v>0.13432835820895522</v>
      </c>
      <c r="BQ47" t="s">
        <v>181</v>
      </c>
      <c r="BR47">
        <v>8.7301587301587297E-2</v>
      </c>
      <c r="BS47">
        <v>7.1428571428571425E-2</v>
      </c>
      <c r="BT47">
        <v>7.1428571428571425E-2</v>
      </c>
      <c r="BU47">
        <v>7.1428571428571425E-2</v>
      </c>
      <c r="BV47">
        <v>0.10317460317460317</v>
      </c>
      <c r="BW47">
        <v>0.1111111111111111</v>
      </c>
      <c r="BX47">
        <v>0.1111111111111111</v>
      </c>
      <c r="BY47">
        <v>0.10317460317460317</v>
      </c>
      <c r="BZ47">
        <v>0.13492063492063491</v>
      </c>
      <c r="CA47">
        <v>0.13492063492063491</v>
      </c>
      <c r="CE47" t="s">
        <v>181</v>
      </c>
      <c r="CF47">
        <v>9.3220338983050849E-2</v>
      </c>
      <c r="CG47">
        <v>7.6271186440677971E-2</v>
      </c>
      <c r="CH47">
        <v>6.7796610169491525E-2</v>
      </c>
      <c r="CI47">
        <v>7.6271186440677971E-2</v>
      </c>
      <c r="CJ47">
        <v>0.11016949152542373</v>
      </c>
      <c r="CK47">
        <v>0.11016949152542373</v>
      </c>
      <c r="CL47">
        <v>0.11016949152542373</v>
      </c>
      <c r="CM47">
        <v>0.10169491525423729</v>
      </c>
      <c r="CN47">
        <v>0.1271186440677966</v>
      </c>
      <c r="CO47">
        <v>0.1271186440677966</v>
      </c>
    </row>
    <row r="48" spans="6:93" x14ac:dyDescent="0.35">
      <c r="AO48" t="s">
        <v>181</v>
      </c>
      <c r="AP48">
        <v>10533.808308192156</v>
      </c>
      <c r="AQ48">
        <v>8778.1735901601296</v>
      </c>
      <c r="AR48">
        <v>8778.1735901601296</v>
      </c>
      <c r="AS48">
        <v>9655.9909491761427</v>
      </c>
      <c r="AT48">
        <v>12289.443026224182</v>
      </c>
      <c r="AU48">
        <v>13167.260385240194</v>
      </c>
      <c r="AV48">
        <v>13167.260385240194</v>
      </c>
      <c r="AW48">
        <v>14045.077744256208</v>
      </c>
      <c r="AX48">
        <v>15800.712462288233</v>
      </c>
      <c r="AY48">
        <v>15800.712462288233</v>
      </c>
      <c r="BC48" t="s">
        <v>181</v>
      </c>
      <c r="BD48">
        <v>11336.005330490405</v>
      </c>
      <c r="BE48">
        <v>9446.6711087420026</v>
      </c>
      <c r="BF48">
        <v>9446.6711087420026</v>
      </c>
      <c r="BG48">
        <v>10391.338219616204</v>
      </c>
      <c r="BH48">
        <v>12280.672441364606</v>
      </c>
      <c r="BI48">
        <v>13225.339552238805</v>
      </c>
      <c r="BJ48">
        <v>13225.339552238805</v>
      </c>
      <c r="BK48">
        <v>13225.339552238805</v>
      </c>
      <c r="BL48">
        <v>17004.007995735607</v>
      </c>
      <c r="BM48">
        <v>17004.007995735607</v>
      </c>
      <c r="BQ48" t="s">
        <v>181</v>
      </c>
      <c r="BR48">
        <v>10760.176907322068</v>
      </c>
      <c r="BS48">
        <v>8803.7811059907835</v>
      </c>
      <c r="BT48">
        <v>8803.7811059907835</v>
      </c>
      <c r="BU48">
        <v>8803.7811059907835</v>
      </c>
      <c r="BV48">
        <v>12716.572708653353</v>
      </c>
      <c r="BW48">
        <v>13694.770609318995</v>
      </c>
      <c r="BX48">
        <v>13694.770609318995</v>
      </c>
      <c r="BY48">
        <v>12716.572708653353</v>
      </c>
      <c r="BZ48">
        <v>16629.364311315923</v>
      </c>
      <c r="CA48">
        <v>16629.364311315923</v>
      </c>
      <c r="CE48" t="s">
        <v>181</v>
      </c>
      <c r="CF48">
        <v>11633.485028248588</v>
      </c>
      <c r="CG48">
        <v>9518.3059322033896</v>
      </c>
      <c r="CH48">
        <v>8460.7163841807906</v>
      </c>
      <c r="CI48">
        <v>9518.3059322033896</v>
      </c>
      <c r="CJ48">
        <v>13748.664124293786</v>
      </c>
      <c r="CK48">
        <v>13748.664124293786</v>
      </c>
      <c r="CL48">
        <v>13748.664124293786</v>
      </c>
      <c r="CM48">
        <v>12691.074576271187</v>
      </c>
      <c r="CN48">
        <v>15863.843220338982</v>
      </c>
      <c r="CO48">
        <v>15863.843220338982</v>
      </c>
    </row>
    <row r="49" spans="41:93" x14ac:dyDescent="0.35">
      <c r="AO49" t="s">
        <v>184</v>
      </c>
      <c r="AP49">
        <v>7.77996519581656E-2</v>
      </c>
      <c r="AQ49">
        <v>8.0663430374034478E-2</v>
      </c>
      <c r="AR49">
        <v>0.1213388378099805</v>
      </c>
      <c r="AS49">
        <v>8.2345225392010557E-2</v>
      </c>
      <c r="AT49">
        <v>0.13605266673945482</v>
      </c>
      <c r="AU49">
        <v>9.4074939385816791E-2</v>
      </c>
      <c r="AV49">
        <v>8.723422603708364E-2</v>
      </c>
      <c r="AW49">
        <v>0.12083699408202866</v>
      </c>
      <c r="AX49">
        <v>8.0203289136851125E-2</v>
      </c>
      <c r="AY49">
        <v>0.11945073908457382</v>
      </c>
      <c r="BC49" t="s">
        <v>184</v>
      </c>
      <c r="BD49">
        <v>8.7991471560549483E-2</v>
      </c>
      <c r="BE49">
        <v>8.2936664223333775E-2</v>
      </c>
      <c r="BF49">
        <v>0.12556344774896119</v>
      </c>
      <c r="BG49">
        <v>7.5003362214297362E-2</v>
      </c>
      <c r="BH49">
        <v>0.12100171500089188</v>
      </c>
      <c r="BI49">
        <v>8.355937390701651E-2</v>
      </c>
      <c r="BJ49">
        <v>8.4691638822408086E-2</v>
      </c>
      <c r="BK49">
        <v>0.12106321718772056</v>
      </c>
      <c r="BL49">
        <v>8.4670257211264519E-2</v>
      </c>
      <c r="BM49">
        <v>0.13351885212355652</v>
      </c>
      <c r="BQ49" t="s">
        <v>184</v>
      </c>
      <c r="BR49">
        <v>7.4635007121912983E-2</v>
      </c>
      <c r="BS49">
        <v>7.4726141195189014E-2</v>
      </c>
      <c r="BT49">
        <v>0.11594060561774464</v>
      </c>
      <c r="BU49">
        <v>8.4867491904546288E-2</v>
      </c>
      <c r="BV49">
        <v>0.13465784877666592</v>
      </c>
      <c r="BW49">
        <v>9.0738434291181641E-2</v>
      </c>
      <c r="BX49">
        <v>9.195755781200024E-2</v>
      </c>
      <c r="BY49">
        <v>0.1327340478526044</v>
      </c>
      <c r="BZ49">
        <v>8.5315578251943774E-2</v>
      </c>
      <c r="CA49">
        <v>0.11442728717621092</v>
      </c>
      <c r="CE49" t="s">
        <v>184</v>
      </c>
      <c r="CF49">
        <v>8.1505430715834798E-2</v>
      </c>
      <c r="CG49">
        <v>8.4394266118200723E-2</v>
      </c>
      <c r="CH49">
        <v>0.12392545093899666</v>
      </c>
      <c r="CI49">
        <v>8.221889490579247E-2</v>
      </c>
      <c r="CJ49">
        <v>0.13111109032277057</v>
      </c>
      <c r="CK49">
        <v>8.8070152264408758E-2</v>
      </c>
      <c r="CL49">
        <v>8.6562128498579943E-2</v>
      </c>
      <c r="CM49">
        <v>0.12425615241627488</v>
      </c>
      <c r="CN49">
        <v>8.1960153068792396E-2</v>
      </c>
      <c r="CO49">
        <v>0.11599628075034883</v>
      </c>
    </row>
    <row r="50" spans="41:93" x14ac:dyDescent="0.35">
      <c r="AO50" t="s">
        <v>185</v>
      </c>
      <c r="AP50">
        <f t="shared" ref="AP50:AY50" si="14">$AP$38*AP49</f>
        <v>11458.337699499023</v>
      </c>
      <c r="AQ50">
        <f t="shared" si="14"/>
        <v>11880.115167130969</v>
      </c>
      <c r="AR50">
        <f t="shared" si="14"/>
        <v>17870.791767026294</v>
      </c>
      <c r="AS50">
        <f t="shared" si="14"/>
        <v>12127.810044579355</v>
      </c>
      <c r="AT50">
        <f t="shared" si="14"/>
        <v>20037.845429647205</v>
      </c>
      <c r="AU50">
        <f t="shared" si="14"/>
        <v>13855.36306926181</v>
      </c>
      <c r="AV50">
        <f t="shared" si="14"/>
        <v>12847.862371220082</v>
      </c>
      <c r="AW50">
        <f t="shared" si="14"/>
        <v>17796.880190785057</v>
      </c>
      <c r="AX50">
        <f t="shared" si="14"/>
        <v>11812.345536388313</v>
      </c>
      <c r="AY50">
        <f t="shared" si="14"/>
        <v>17592.712466397334</v>
      </c>
      <c r="BC50" t="s">
        <v>185</v>
      </c>
      <c r="BD50">
        <f t="shared" ref="BD50:BM50" si="15">$BE$38*BD49</f>
        <v>10350.062835913304</v>
      </c>
      <c r="BE50">
        <f t="shared" si="15"/>
        <v>9755.487331767803</v>
      </c>
      <c r="BF50">
        <f t="shared" si="15"/>
        <v>14769.494714057371</v>
      </c>
      <c r="BG50">
        <f t="shared" si="15"/>
        <v>8822.3267329783885</v>
      </c>
      <c r="BH50">
        <f t="shared" si="15"/>
        <v>14232.917478266158</v>
      </c>
      <c r="BI50">
        <f t="shared" si="15"/>
        <v>9828.7340253432467</v>
      </c>
      <c r="BJ50">
        <f t="shared" si="15"/>
        <v>9961.9175352148686</v>
      </c>
      <c r="BK50">
        <f t="shared" si="15"/>
        <v>14240.151719118521</v>
      </c>
      <c r="BL50">
        <f t="shared" si="15"/>
        <v>9959.4025071678971</v>
      </c>
      <c r="BM50">
        <f t="shared" si="15"/>
        <v>15705.255120172429</v>
      </c>
      <c r="BQ50" t="s">
        <v>185</v>
      </c>
      <c r="BR50">
        <f t="shared" ref="BR50:CA50" si="16">$BS$38*BR49</f>
        <v>1740.9048775743661</v>
      </c>
      <c r="BS50">
        <f t="shared" si="16"/>
        <v>1743.0306327500882</v>
      </c>
      <c r="BT50">
        <f t="shared" si="16"/>
        <v>2704.3819463855389</v>
      </c>
      <c r="BU50">
        <f t="shared" si="16"/>
        <v>1979.5835265720648</v>
      </c>
      <c r="BV50">
        <f t="shared" si="16"/>
        <v>3140.9725111440503</v>
      </c>
      <c r="BW50">
        <f t="shared" si="16"/>
        <v>2116.5266666746234</v>
      </c>
      <c r="BX50">
        <f t="shared" si="16"/>
        <v>2144.9634306758903</v>
      </c>
      <c r="BY50">
        <f t="shared" si="16"/>
        <v>3096.0987375446175</v>
      </c>
      <c r="BZ50">
        <f t="shared" si="16"/>
        <v>1990.0354008042805</v>
      </c>
      <c r="CA50">
        <f t="shared" si="16"/>
        <v>2669.0829150357345</v>
      </c>
      <c r="CE50" t="s">
        <v>185</v>
      </c>
      <c r="CF50">
        <f t="shared" ref="CF50:CO50" si="17">$CG$38*CF49</f>
        <v>18612.131878399097</v>
      </c>
      <c r="CG50">
        <f t="shared" si="17"/>
        <v>19271.810442288668</v>
      </c>
      <c r="CH50">
        <f t="shared" si="17"/>
        <v>28298.934386449113</v>
      </c>
      <c r="CI50">
        <f t="shared" si="17"/>
        <v>18775.054636764788</v>
      </c>
      <c r="CJ50">
        <f t="shared" si="17"/>
        <v>29939.807475111113</v>
      </c>
      <c r="CK50">
        <f t="shared" si="17"/>
        <v>20111.215585262929</v>
      </c>
      <c r="CL50">
        <f t="shared" si="17"/>
        <v>19766.851572228974</v>
      </c>
      <c r="CM50">
        <f t="shared" si="17"/>
        <v>28374.451556942244</v>
      </c>
      <c r="CN50">
        <f t="shared" si="17"/>
        <v>18715.969773947552</v>
      </c>
      <c r="CO50">
        <f t="shared" si="17"/>
        <v>26488.272692605533</v>
      </c>
    </row>
    <row r="51" spans="41:93" x14ac:dyDescent="0.35">
      <c r="AO51" t="s">
        <v>93</v>
      </c>
      <c r="AP51">
        <v>0</v>
      </c>
      <c r="AQ51">
        <v>0</v>
      </c>
      <c r="AR51">
        <v>0</v>
      </c>
      <c r="AS51">
        <v>1.3044693163248215E-2</v>
      </c>
      <c r="AT51">
        <v>0.34048980090174058</v>
      </c>
      <c r="AU51">
        <v>0.32306144649959556</v>
      </c>
      <c r="AV51">
        <v>0.24503465031759275</v>
      </c>
      <c r="AW51">
        <v>7.8369409117823016E-2</v>
      </c>
      <c r="AX51">
        <v>0</v>
      </c>
      <c r="AY51">
        <v>0</v>
      </c>
      <c r="BC51" t="s">
        <v>93</v>
      </c>
      <c r="BD51">
        <v>0</v>
      </c>
      <c r="BE51">
        <v>0</v>
      </c>
      <c r="BF51">
        <v>0</v>
      </c>
      <c r="BG51">
        <v>2.2677633953201021E-2</v>
      </c>
      <c r="BH51">
        <v>0.32282817287599785</v>
      </c>
      <c r="BI51">
        <v>0.27385148488255484</v>
      </c>
      <c r="BJ51">
        <v>0.25651486750379898</v>
      </c>
      <c r="BK51">
        <v>0.12412104699617377</v>
      </c>
      <c r="BL51">
        <v>6.7937882735482287E-6</v>
      </c>
      <c r="BM51">
        <v>0</v>
      </c>
      <c r="BQ51" t="s">
        <v>93</v>
      </c>
      <c r="BR51">
        <v>7.4635007121912983E-2</v>
      </c>
      <c r="BS51">
        <v>7.4726141195189014E-2</v>
      </c>
      <c r="BT51">
        <v>0.11594060561774464</v>
      </c>
      <c r="BU51">
        <v>8.4867491904546288E-2</v>
      </c>
      <c r="BV51">
        <v>0.13465784877666592</v>
      </c>
      <c r="BW51">
        <v>9.0738434291181641E-2</v>
      </c>
      <c r="BX51">
        <v>9.195755781200024E-2</v>
      </c>
      <c r="BY51">
        <v>0.1327340478526044</v>
      </c>
      <c r="BZ51">
        <v>8.5315578251943774E-2</v>
      </c>
      <c r="CA51">
        <v>0.11442728717621092</v>
      </c>
      <c r="CE51" t="s">
        <v>93</v>
      </c>
      <c r="CF51">
        <v>0</v>
      </c>
      <c r="CG51">
        <v>0</v>
      </c>
      <c r="CH51">
        <v>3.8532763587153028E-3</v>
      </c>
      <c r="CI51">
        <v>8.868725994375673E-2</v>
      </c>
      <c r="CJ51">
        <v>0.30918354434918993</v>
      </c>
      <c r="CK51">
        <v>0.23604383596402312</v>
      </c>
      <c r="CL51">
        <v>0.2122074784084024</v>
      </c>
      <c r="CM51">
        <v>0.14717364170308189</v>
      </c>
      <c r="CN51">
        <v>2.8509632728305405E-3</v>
      </c>
      <c r="CO51">
        <v>0</v>
      </c>
    </row>
    <row r="52" spans="41:93" x14ac:dyDescent="0.35">
      <c r="AO52" t="s">
        <v>189</v>
      </c>
      <c r="AP52">
        <f t="shared" ref="AP52:AY52" si="18">$AP$39*AP51</f>
        <v>0</v>
      </c>
      <c r="AQ52">
        <f t="shared" si="18"/>
        <v>0</v>
      </c>
      <c r="AR52">
        <f t="shared" si="18"/>
        <v>0</v>
      </c>
      <c r="AS52">
        <f t="shared" si="18"/>
        <v>32.607524942584007</v>
      </c>
      <c r="AT52">
        <f t="shared" si="18"/>
        <v>851.11466683470587</v>
      </c>
      <c r="AU52">
        <f t="shared" si="18"/>
        <v>807.54940287915042</v>
      </c>
      <c r="AV52">
        <f t="shared" si="18"/>
        <v>612.50758235839567</v>
      </c>
      <c r="AW52">
        <f t="shared" si="18"/>
        <v>195.89824234000343</v>
      </c>
      <c r="AX52">
        <f t="shared" si="18"/>
        <v>0</v>
      </c>
      <c r="AY52">
        <f t="shared" si="18"/>
        <v>0</v>
      </c>
      <c r="BC52" t="s">
        <v>189</v>
      </c>
      <c r="BD52">
        <f t="shared" ref="BD52:BM52" si="19">$BE$39*BD51</f>
        <v>0</v>
      </c>
      <c r="BE52">
        <f t="shared" si="19"/>
        <v>0</v>
      </c>
      <c r="BF52">
        <f t="shared" si="19"/>
        <v>0</v>
      </c>
      <c r="BG52">
        <f t="shared" si="19"/>
        <v>79.272099229909159</v>
      </c>
      <c r="BH52">
        <f t="shared" si="19"/>
        <v>1128.4804670208587</v>
      </c>
      <c r="BI52">
        <f t="shared" si="19"/>
        <v>957.27720663749369</v>
      </c>
      <c r="BJ52">
        <f t="shared" si="19"/>
        <v>896.67520309533336</v>
      </c>
      <c r="BK52">
        <f t="shared" si="19"/>
        <v>433.87841845873214</v>
      </c>
      <c r="BL52">
        <f t="shared" si="19"/>
        <v>2.3748414816074287E-2</v>
      </c>
      <c r="BM52">
        <f t="shared" si="19"/>
        <v>0</v>
      </c>
      <c r="BQ52" t="s">
        <v>189</v>
      </c>
      <c r="BR52">
        <f t="shared" ref="BR52:CA52" si="20">$BS$39*BR51</f>
        <v>319.59913840040588</v>
      </c>
      <c r="BS52">
        <f t="shared" si="20"/>
        <v>319.98938920121793</v>
      </c>
      <c r="BT52">
        <f t="shared" si="20"/>
        <v>496.47637335286277</v>
      </c>
      <c r="BU52">
        <f t="shared" si="20"/>
        <v>363.41628864041309</v>
      </c>
      <c r="BV52">
        <f t="shared" si="20"/>
        <v>576.62662746955061</v>
      </c>
      <c r="BW52">
        <f t="shared" si="20"/>
        <v>388.55661086617704</v>
      </c>
      <c r="BX52">
        <f t="shared" si="20"/>
        <v>393.77709441514821</v>
      </c>
      <c r="BY52">
        <f t="shared" si="20"/>
        <v>568.38860162224762</v>
      </c>
      <c r="BZ52">
        <f t="shared" si="20"/>
        <v>365.33506665196063</v>
      </c>
      <c r="CA52">
        <f t="shared" si="20"/>
        <v>489.99609970259581</v>
      </c>
      <c r="CE52" t="s">
        <v>189</v>
      </c>
      <c r="CF52">
        <f t="shared" ref="CF52:CO52" si="21">$CG$39*CF51</f>
        <v>0</v>
      </c>
      <c r="CG52">
        <f t="shared" si="21"/>
        <v>0</v>
      </c>
      <c r="CH52">
        <f t="shared" si="21"/>
        <v>20.067991718734586</v>
      </c>
      <c r="CI52">
        <f t="shared" si="21"/>
        <v>461.88620602908316</v>
      </c>
      <c r="CJ52">
        <f t="shared" si="21"/>
        <v>1610.2382050887261</v>
      </c>
      <c r="CK52">
        <f t="shared" si="21"/>
        <v>1229.3241658284978</v>
      </c>
      <c r="CL52">
        <f t="shared" si="21"/>
        <v>1105.1836211335733</v>
      </c>
      <c r="CM52">
        <f t="shared" si="21"/>
        <v>766.48523177770721</v>
      </c>
      <c r="CN52">
        <f t="shared" si="21"/>
        <v>14.847911757010548</v>
      </c>
      <c r="CO52">
        <f t="shared" si="21"/>
        <v>0</v>
      </c>
    </row>
    <row r="53" spans="41:93" x14ac:dyDescent="0.35">
      <c r="AO53" t="s">
        <v>172</v>
      </c>
      <c r="AP53">
        <v>0</v>
      </c>
      <c r="AQ53">
        <v>0</v>
      </c>
      <c r="AR53">
        <v>0</v>
      </c>
      <c r="AS53">
        <v>0</v>
      </c>
      <c r="AT53">
        <v>0</v>
      </c>
      <c r="AU53">
        <v>0</v>
      </c>
      <c r="AV53">
        <v>0</v>
      </c>
      <c r="AW53">
        <v>0</v>
      </c>
      <c r="AX53">
        <v>0</v>
      </c>
      <c r="AY53">
        <v>0</v>
      </c>
      <c r="BC53" t="s">
        <v>172</v>
      </c>
      <c r="BD53">
        <v>28.007142857142856</v>
      </c>
      <c r="BE53">
        <v>28.007142857142856</v>
      </c>
      <c r="BF53">
        <v>28.007142857142856</v>
      </c>
      <c r="BG53">
        <v>28.007142857142856</v>
      </c>
      <c r="BH53">
        <v>28.007142857142856</v>
      </c>
      <c r="BI53">
        <v>28.007142857142856</v>
      </c>
      <c r="BJ53">
        <v>28.007142857142856</v>
      </c>
      <c r="BK53">
        <v>28.007142857142856</v>
      </c>
      <c r="BL53">
        <v>28.007142857142856</v>
      </c>
      <c r="BM53">
        <v>28.007142857142856</v>
      </c>
      <c r="BQ53" t="s">
        <v>172</v>
      </c>
      <c r="BR53">
        <v>164.27096774193549</v>
      </c>
      <c r="BS53">
        <v>164.27096774193549</v>
      </c>
      <c r="BT53">
        <v>164.27096774193549</v>
      </c>
      <c r="BU53">
        <v>164.27096774193549</v>
      </c>
      <c r="BV53">
        <v>164.27096774193549</v>
      </c>
      <c r="BW53">
        <v>164.27096774193549</v>
      </c>
      <c r="BX53">
        <v>164.27096774193549</v>
      </c>
      <c r="BY53">
        <v>164.27096774193549</v>
      </c>
      <c r="BZ53">
        <v>164.27096774193549</v>
      </c>
      <c r="CA53">
        <v>164.27096774193549</v>
      </c>
      <c r="CE53" t="s">
        <v>172</v>
      </c>
      <c r="CF53">
        <v>140.00333333333333</v>
      </c>
      <c r="CG53">
        <v>140.00333333333333</v>
      </c>
      <c r="CH53">
        <v>140.00333333333333</v>
      </c>
      <c r="CI53">
        <v>140.00333333333333</v>
      </c>
      <c r="CJ53">
        <v>140.00333333333333</v>
      </c>
      <c r="CK53">
        <v>140.00333333333333</v>
      </c>
      <c r="CL53">
        <v>140.00333333333333</v>
      </c>
      <c r="CM53">
        <v>140.00333333333333</v>
      </c>
      <c r="CN53">
        <v>140.00333333333333</v>
      </c>
      <c r="CO53">
        <v>140.00333333333333</v>
      </c>
    </row>
    <row r="54" spans="41:93" x14ac:dyDescent="0.35">
      <c r="AO54" t="s">
        <v>170</v>
      </c>
      <c r="AP54">
        <v>0</v>
      </c>
      <c r="AQ54">
        <v>0</v>
      </c>
      <c r="AR54">
        <v>0</v>
      </c>
      <c r="AS54">
        <v>0</v>
      </c>
      <c r="AT54">
        <v>0</v>
      </c>
      <c r="AU54">
        <v>0</v>
      </c>
      <c r="AV54">
        <v>0</v>
      </c>
      <c r="AW54">
        <v>0</v>
      </c>
      <c r="AX54">
        <v>0</v>
      </c>
      <c r="AY54">
        <v>0</v>
      </c>
      <c r="BC54" t="s">
        <v>170</v>
      </c>
      <c r="BD54">
        <v>0</v>
      </c>
      <c r="BE54">
        <v>0</v>
      </c>
      <c r="BF54">
        <v>0</v>
      </c>
      <c r="BG54">
        <v>0</v>
      </c>
      <c r="BH54">
        <v>0</v>
      </c>
      <c r="BI54">
        <v>0</v>
      </c>
      <c r="BJ54">
        <v>0</v>
      </c>
      <c r="BK54">
        <v>0</v>
      </c>
      <c r="BL54">
        <v>0</v>
      </c>
      <c r="BM54">
        <v>0</v>
      </c>
      <c r="BQ54" t="s">
        <v>170</v>
      </c>
      <c r="BR54">
        <v>0</v>
      </c>
      <c r="BS54">
        <v>0</v>
      </c>
      <c r="BT54">
        <v>0</v>
      </c>
      <c r="BU54">
        <v>0</v>
      </c>
      <c r="BV54">
        <v>0</v>
      </c>
      <c r="BW54">
        <v>0</v>
      </c>
      <c r="BX54">
        <v>0</v>
      </c>
      <c r="BY54">
        <v>0</v>
      </c>
      <c r="BZ54">
        <v>0</v>
      </c>
      <c r="CA54">
        <v>0</v>
      </c>
      <c r="CE54" t="s">
        <v>170</v>
      </c>
      <c r="CF54">
        <v>0</v>
      </c>
      <c r="CG54">
        <v>0</v>
      </c>
      <c r="CH54">
        <v>0</v>
      </c>
      <c r="CI54">
        <v>0</v>
      </c>
      <c r="CJ54">
        <v>0</v>
      </c>
      <c r="CK54">
        <v>0</v>
      </c>
      <c r="CM54">
        <v>0</v>
      </c>
      <c r="CN54">
        <v>0</v>
      </c>
      <c r="CO54">
        <v>0</v>
      </c>
    </row>
    <row r="56" spans="41:93" x14ac:dyDescent="0.35">
      <c r="AO56" t="s">
        <v>194</v>
      </c>
      <c r="AP56">
        <f t="shared" ref="AP56:AY56" si="22">SUM(AP50,AP52:AP54)</f>
        <v>11458.337699499023</v>
      </c>
      <c r="AQ56">
        <f t="shared" si="22"/>
        <v>11880.115167130969</v>
      </c>
      <c r="AR56">
        <f t="shared" si="22"/>
        <v>17870.791767026294</v>
      </c>
      <c r="AS56">
        <f t="shared" si="22"/>
        <v>12160.41756952194</v>
      </c>
      <c r="AT56">
        <f t="shared" si="22"/>
        <v>20888.960096481911</v>
      </c>
      <c r="AU56">
        <f t="shared" si="22"/>
        <v>14662.912472140961</v>
      </c>
      <c r="AV56">
        <f t="shared" si="22"/>
        <v>13460.369953578478</v>
      </c>
      <c r="AW56">
        <f t="shared" si="22"/>
        <v>17992.778433125062</v>
      </c>
      <c r="AX56">
        <f t="shared" si="22"/>
        <v>11812.345536388313</v>
      </c>
      <c r="AY56">
        <f t="shared" si="22"/>
        <v>17592.712466397334</v>
      </c>
      <c r="BC56" t="s">
        <v>194</v>
      </c>
      <c r="BD56">
        <f t="shared" ref="BD56:BM56" si="23">SUM(BD50,BD52:BD54)</f>
        <v>10378.069978770447</v>
      </c>
      <c r="BE56">
        <f t="shared" si="23"/>
        <v>9783.4944746249457</v>
      </c>
      <c r="BF56">
        <f t="shared" si="23"/>
        <v>14797.501856914514</v>
      </c>
      <c r="BG56">
        <f t="shared" si="23"/>
        <v>8929.6059750654404</v>
      </c>
      <c r="BH56">
        <f t="shared" si="23"/>
        <v>15389.405088144158</v>
      </c>
      <c r="BI56">
        <f t="shared" si="23"/>
        <v>10814.018374837884</v>
      </c>
      <c r="BJ56">
        <f t="shared" si="23"/>
        <v>10886.599881167345</v>
      </c>
      <c r="BK56">
        <f t="shared" si="23"/>
        <v>14702.037280434397</v>
      </c>
      <c r="BL56">
        <f t="shared" si="23"/>
        <v>9987.4333984398563</v>
      </c>
      <c r="BM56">
        <f t="shared" si="23"/>
        <v>15733.262263029572</v>
      </c>
      <c r="BQ56" t="s">
        <v>194</v>
      </c>
      <c r="BR56">
        <f t="shared" ref="BR56:CA56" si="24">SUM(BR50,BR52:BR54)</f>
        <v>2224.7749837167075</v>
      </c>
      <c r="BS56">
        <f t="shared" si="24"/>
        <v>2227.290989693242</v>
      </c>
      <c r="BT56">
        <f t="shared" si="24"/>
        <v>3365.1292874803371</v>
      </c>
      <c r="BU56">
        <f t="shared" si="24"/>
        <v>2507.2707829544138</v>
      </c>
      <c r="BV56">
        <f t="shared" si="24"/>
        <v>3881.8701063555368</v>
      </c>
      <c r="BW56">
        <f t="shared" si="24"/>
        <v>2669.354245282736</v>
      </c>
      <c r="BX56">
        <f t="shared" si="24"/>
        <v>2703.0114928329745</v>
      </c>
      <c r="BY56">
        <f t="shared" si="24"/>
        <v>3828.7583069088009</v>
      </c>
      <c r="BZ56">
        <f t="shared" si="24"/>
        <v>2519.6414351981766</v>
      </c>
      <c r="CA56">
        <f t="shared" si="24"/>
        <v>3323.3499824802661</v>
      </c>
      <c r="CE56" t="s">
        <v>194</v>
      </c>
      <c r="CF56">
        <f t="shared" ref="CF56:CO56" si="25">SUM(CF50,CF52:CF54)</f>
        <v>18752.135211732431</v>
      </c>
      <c r="CG56">
        <f t="shared" si="25"/>
        <v>19411.813775622002</v>
      </c>
      <c r="CH56">
        <f t="shared" si="25"/>
        <v>28459.00571150118</v>
      </c>
      <c r="CI56">
        <f t="shared" si="25"/>
        <v>19376.944176127206</v>
      </c>
      <c r="CJ56">
        <f t="shared" si="25"/>
        <v>31690.049013533171</v>
      </c>
      <c r="CK56">
        <f t="shared" si="25"/>
        <v>21480.54308442476</v>
      </c>
      <c r="CL56">
        <f t="shared" si="25"/>
        <v>21012.03852669588</v>
      </c>
      <c r="CM56">
        <f t="shared" si="25"/>
        <v>29280.940122053285</v>
      </c>
      <c r="CN56">
        <f t="shared" si="25"/>
        <v>18870.821019037896</v>
      </c>
      <c r="CO56">
        <f t="shared" si="25"/>
        <v>26628.276025938867</v>
      </c>
    </row>
    <row r="57" spans="41:93" x14ac:dyDescent="0.35">
      <c r="AO57" t="s">
        <v>335</v>
      </c>
      <c r="AP57">
        <f>AP56-AP48</f>
        <v>924.52939130686718</v>
      </c>
      <c r="AQ57">
        <f t="shared" ref="AQ57:AY57" si="26">AQ56-AQ48</f>
        <v>3101.9415769708394</v>
      </c>
      <c r="AR57">
        <f t="shared" si="26"/>
        <v>9092.6181768661645</v>
      </c>
      <c r="AS57">
        <f t="shared" si="26"/>
        <v>2504.4266203457973</v>
      </c>
      <c r="AT57">
        <f t="shared" si="26"/>
        <v>8599.5170702577288</v>
      </c>
      <c r="AU57">
        <f t="shared" si="26"/>
        <v>1495.6520869007672</v>
      </c>
      <c r="AV57">
        <f t="shared" si="26"/>
        <v>293.10956833828459</v>
      </c>
      <c r="AW57">
        <f t="shared" si="26"/>
        <v>3947.7006888688538</v>
      </c>
      <c r="AX57">
        <f t="shared" si="26"/>
        <v>-3988.3669258999198</v>
      </c>
      <c r="AY57">
        <f t="shared" si="26"/>
        <v>1792.0000041091007</v>
      </c>
      <c r="BC57" t="s">
        <v>335</v>
      </c>
      <c r="BD57">
        <f>BD56-BD48</f>
        <v>-957.93535171995791</v>
      </c>
      <c r="BE57">
        <f t="shared" ref="BE57" si="27">BE56-BE48</f>
        <v>336.82336588294311</v>
      </c>
      <c r="BF57">
        <f t="shared" ref="BF57" si="28">BF56-BF48</f>
        <v>5350.8307481725114</v>
      </c>
      <c r="BG57">
        <f t="shared" ref="BG57" si="29">BG56-BG48</f>
        <v>-1461.7322445507634</v>
      </c>
      <c r="BH57">
        <f t="shared" ref="BH57" si="30">BH56-BH48</f>
        <v>3108.7326467795519</v>
      </c>
      <c r="BI57">
        <f t="shared" ref="BI57" si="31">BI56-BI48</f>
        <v>-2411.3211774009214</v>
      </c>
      <c r="BJ57">
        <f t="shared" ref="BJ57" si="32">BJ56-BJ48</f>
        <v>-2338.7396710714602</v>
      </c>
      <c r="BK57">
        <f t="shared" ref="BK57" si="33">BK56-BK48</f>
        <v>1476.6977281955915</v>
      </c>
      <c r="BL57">
        <f t="shared" ref="BL57" si="34">BL56-BL48</f>
        <v>-7016.5745972957502</v>
      </c>
      <c r="BM57">
        <f t="shared" ref="BM57" si="35">BM56-BM48</f>
        <v>-1270.7457327060347</v>
      </c>
      <c r="BQ57" t="s">
        <v>335</v>
      </c>
      <c r="BR57">
        <f>BR56-BR48</f>
        <v>-8535.4019236053609</v>
      </c>
      <c r="BS57">
        <f t="shared" ref="BS57" si="36">BS56-BS48</f>
        <v>-6576.490116297542</v>
      </c>
      <c r="BT57">
        <f t="shared" ref="BT57" si="37">BT56-BT48</f>
        <v>-5438.6518185104469</v>
      </c>
      <c r="BU57">
        <f t="shared" ref="BU57" si="38">BU56-BU48</f>
        <v>-6296.5103230363693</v>
      </c>
      <c r="BV57">
        <f t="shared" ref="BV57" si="39">BV56-BV48</f>
        <v>-8834.7026022978171</v>
      </c>
      <c r="BW57">
        <f t="shared" ref="BW57" si="40">BW56-BW48</f>
        <v>-11025.41636403626</v>
      </c>
      <c r="BX57">
        <f t="shared" ref="BX57" si="41">BX56-BX48</f>
        <v>-10991.759116486021</v>
      </c>
      <c r="BY57">
        <f t="shared" ref="BY57" si="42">BY56-BY48</f>
        <v>-8887.814401744552</v>
      </c>
      <c r="BZ57">
        <f t="shared" ref="BZ57" si="43">BZ56-BZ48</f>
        <v>-14109.722876117747</v>
      </c>
      <c r="CA57">
        <f t="shared" ref="CA57" si="44">CA56-CA48</f>
        <v>-13306.014328835658</v>
      </c>
      <c r="CE57" t="s">
        <v>335</v>
      </c>
      <c r="CF57">
        <f>CF56-CF48</f>
        <v>7118.6501834838436</v>
      </c>
      <c r="CG57">
        <f t="shared" ref="CG57" si="45">CG56-CG48</f>
        <v>9893.5078434186125</v>
      </c>
      <c r="CH57">
        <f t="shared" ref="CH57" si="46">CH56-CH48</f>
        <v>19998.289327320388</v>
      </c>
      <c r="CI57">
        <f t="shared" ref="CI57" si="47">CI56-CI48</f>
        <v>9858.6382439238168</v>
      </c>
      <c r="CJ57">
        <f t="shared" ref="CJ57" si="48">CJ56-CJ48</f>
        <v>17941.384889239387</v>
      </c>
      <c r="CK57">
        <f t="shared" ref="CK57" si="49">CK56-CK48</f>
        <v>7731.8789601309745</v>
      </c>
      <c r="CL57">
        <f t="shared" ref="CL57" si="50">CL56-CL48</f>
        <v>7263.3744024020943</v>
      </c>
      <c r="CM57">
        <f t="shared" ref="CM57" si="51">CM56-CM48</f>
        <v>16589.865545782101</v>
      </c>
      <c r="CN57">
        <f t="shared" ref="CN57" si="52">CN56-CN48</f>
        <v>3006.9777986989138</v>
      </c>
      <c r="CO57">
        <f t="shared" ref="CO57" si="53">CO56-CO48</f>
        <v>10764.432805599885</v>
      </c>
    </row>
    <row r="61" spans="41:93" x14ac:dyDescent="0.35">
      <c r="AO61" t="s">
        <v>338</v>
      </c>
      <c r="AP61">
        <f>SUMIF(AP57:AY57,"&lt;0")</f>
        <v>-3988.3669258999198</v>
      </c>
      <c r="BC61" t="s">
        <v>338</v>
      </c>
      <c r="BD61">
        <f>SUMIF(BD57:BM57,"&lt;0")</f>
        <v>-15457.048774744888</v>
      </c>
      <c r="BQ61" t="s">
        <v>338</v>
      </c>
      <c r="BR61">
        <f>SUMIF(BR57:CA57,"&lt;0")</f>
        <v>-94002.483870967772</v>
      </c>
      <c r="CE61" t="s">
        <v>338</v>
      </c>
      <c r="CF61">
        <f>SUMIF(CF57:CO57,"&lt;0")</f>
        <v>0</v>
      </c>
    </row>
    <row r="80" spans="40:82" x14ac:dyDescent="0.35">
      <c r="AN80" t="s">
        <v>173</v>
      </c>
      <c r="BB80" t="s">
        <v>179</v>
      </c>
      <c r="BP80" t="s">
        <v>180</v>
      </c>
      <c r="CD80" t="s">
        <v>183</v>
      </c>
    </row>
    <row r="89" spans="41:84" x14ac:dyDescent="0.35">
      <c r="AO89" t="s">
        <v>181</v>
      </c>
      <c r="AP89">
        <v>64148.354838709674</v>
      </c>
      <c r="BQ89" t="s">
        <v>181</v>
      </c>
      <c r="BR89">
        <v>127024.93548387097</v>
      </c>
      <c r="CE89" t="s">
        <v>181</v>
      </c>
      <c r="CF89">
        <v>137796.61290322582</v>
      </c>
    </row>
    <row r="90" spans="41:84" x14ac:dyDescent="0.35">
      <c r="AO90" t="s">
        <v>201</v>
      </c>
      <c r="AP90">
        <f>16248.3225806452+AI12/31</f>
        <v>178731.54838709682</v>
      </c>
      <c r="BC90" t="s">
        <v>181</v>
      </c>
      <c r="BD90">
        <v>183306.63333333333</v>
      </c>
      <c r="BQ90" t="s">
        <v>201</v>
      </c>
      <c r="BR90">
        <f>6988+AI14/31</f>
        <v>76868</v>
      </c>
      <c r="CE90" t="s">
        <v>201</v>
      </c>
      <c r="CF90">
        <f>5482.8064516129+AI15/31</f>
        <v>60310.870967741932</v>
      </c>
    </row>
    <row r="91" spans="41:84" x14ac:dyDescent="0.35">
      <c r="AO91" t="s">
        <v>93</v>
      </c>
      <c r="AP91">
        <f>52.0645161290323+AH12/31</f>
        <v>5454.4838709677415</v>
      </c>
      <c r="BC91" t="s">
        <v>201</v>
      </c>
      <c r="BD91">
        <f>16102.5333333333+AI13/30</f>
        <v>177127.86666666664</v>
      </c>
      <c r="BQ91" t="s">
        <v>93</v>
      </c>
      <c r="BR91">
        <f>129.129032258065+AH14/30</f>
        <v>6156.9456989247319</v>
      </c>
      <c r="CE91" t="s">
        <v>93</v>
      </c>
      <c r="CF91">
        <f>122.290322580645+AH15/31</f>
        <v>5984.2258064516127</v>
      </c>
    </row>
    <row r="92" spans="41:84" x14ac:dyDescent="0.35">
      <c r="AO92" t="s">
        <v>170</v>
      </c>
      <c r="AP92">
        <v>0</v>
      </c>
      <c r="BC92" t="s">
        <v>93</v>
      </c>
      <c r="BD92">
        <f>54.4666666666667+AH13/30</f>
        <v>5656.2166666666672</v>
      </c>
      <c r="BQ92" t="s">
        <v>170</v>
      </c>
      <c r="BR92">
        <v>0</v>
      </c>
      <c r="CE92" t="s">
        <v>170</v>
      </c>
      <c r="CF92">
        <v>0</v>
      </c>
    </row>
    <row r="93" spans="41:84" x14ac:dyDescent="0.35">
      <c r="AO93" t="s">
        <v>172</v>
      </c>
      <c r="AP93">
        <v>725.0322580645161</v>
      </c>
      <c r="BC93" t="s">
        <v>170</v>
      </c>
      <c r="BD93">
        <v>0</v>
      </c>
      <c r="BQ93" t="s">
        <v>172</v>
      </c>
      <c r="BR93">
        <v>39.935483870967744</v>
      </c>
      <c r="CE93" t="s">
        <v>172</v>
      </c>
      <c r="CF93">
        <v>0</v>
      </c>
    </row>
    <row r="94" spans="41:84" x14ac:dyDescent="0.35">
      <c r="BC94" t="s">
        <v>172</v>
      </c>
      <c r="BD94">
        <v>59.4</v>
      </c>
    </row>
    <row r="97" spans="41:93" x14ac:dyDescent="0.35">
      <c r="AP97" t="s">
        <v>154</v>
      </c>
      <c r="AQ97" t="s">
        <v>155</v>
      </c>
      <c r="AR97" t="s">
        <v>156</v>
      </c>
      <c r="AS97" t="s">
        <v>157</v>
      </c>
      <c r="AT97" t="s">
        <v>158</v>
      </c>
      <c r="AU97" t="s">
        <v>159</v>
      </c>
      <c r="AV97" t="s">
        <v>160</v>
      </c>
      <c r="AW97" t="s">
        <v>161</v>
      </c>
      <c r="AX97" t="s">
        <v>162</v>
      </c>
      <c r="AY97" t="s">
        <v>163</v>
      </c>
      <c r="BD97" t="s">
        <v>154</v>
      </c>
      <c r="BE97" t="s">
        <v>155</v>
      </c>
      <c r="BF97" t="s">
        <v>156</v>
      </c>
      <c r="BG97" t="s">
        <v>157</v>
      </c>
      <c r="BH97" t="s">
        <v>158</v>
      </c>
      <c r="BI97" t="s">
        <v>159</v>
      </c>
      <c r="BJ97" t="s">
        <v>160</v>
      </c>
      <c r="BK97" t="s">
        <v>161</v>
      </c>
      <c r="BL97" t="s">
        <v>162</v>
      </c>
      <c r="BM97" t="s">
        <v>163</v>
      </c>
      <c r="BR97" t="s">
        <v>154</v>
      </c>
      <c r="BS97" t="s">
        <v>155</v>
      </c>
      <c r="BT97" t="s">
        <v>156</v>
      </c>
      <c r="BU97" t="s">
        <v>157</v>
      </c>
      <c r="BV97" t="s">
        <v>158</v>
      </c>
      <c r="BW97" t="s">
        <v>159</v>
      </c>
      <c r="BX97" t="s">
        <v>160</v>
      </c>
      <c r="BY97" t="s">
        <v>161</v>
      </c>
      <c r="BZ97" t="s">
        <v>162</v>
      </c>
      <c r="CA97" t="s">
        <v>163</v>
      </c>
      <c r="CF97" t="s">
        <v>154</v>
      </c>
      <c r="CG97" t="s">
        <v>155</v>
      </c>
      <c r="CH97" t="s">
        <v>156</v>
      </c>
      <c r="CI97" t="s">
        <v>157</v>
      </c>
      <c r="CJ97" t="s">
        <v>158</v>
      </c>
      <c r="CK97" t="s">
        <v>159</v>
      </c>
      <c r="CL97" t="s">
        <v>160</v>
      </c>
      <c r="CM97" t="s">
        <v>161</v>
      </c>
      <c r="CN97" t="s">
        <v>162</v>
      </c>
      <c r="CO97" t="s">
        <v>163</v>
      </c>
    </row>
    <row r="98" spans="41:93" x14ac:dyDescent="0.35">
      <c r="AO98" t="s">
        <v>181</v>
      </c>
      <c r="AP98">
        <v>8.6206896551724144E-2</v>
      </c>
      <c r="AQ98">
        <v>7.7586206896551727E-2</v>
      </c>
      <c r="AR98">
        <v>7.7586206896551727E-2</v>
      </c>
      <c r="AS98">
        <v>7.7586206896551727E-2</v>
      </c>
      <c r="AT98">
        <v>0.11206896551724138</v>
      </c>
      <c r="AU98">
        <v>0.11206896551724138</v>
      </c>
      <c r="AV98">
        <v>0.1206896551724138</v>
      </c>
      <c r="AW98">
        <v>0.10344827586206896</v>
      </c>
      <c r="AX98">
        <v>0.10344827586206896</v>
      </c>
      <c r="AY98">
        <v>0.12931034482758622</v>
      </c>
      <c r="BC98" t="s">
        <v>181</v>
      </c>
      <c r="BD98">
        <v>8.6956521739130432E-2</v>
      </c>
      <c r="BE98">
        <v>7.8260869565217397E-2</v>
      </c>
      <c r="BF98">
        <v>7.8260869565217397E-2</v>
      </c>
      <c r="BG98">
        <v>7.8260869565217397E-2</v>
      </c>
      <c r="BH98">
        <v>0.10434782608695652</v>
      </c>
      <c r="BI98">
        <v>0.12173913043478261</v>
      </c>
      <c r="BJ98">
        <v>0.12173913043478261</v>
      </c>
      <c r="BK98">
        <v>0.10434782608695652</v>
      </c>
      <c r="BL98">
        <v>0.10434782608695652</v>
      </c>
      <c r="BM98">
        <v>0.12173913043478261</v>
      </c>
      <c r="BQ98" t="s">
        <v>181</v>
      </c>
      <c r="BR98">
        <v>9.5238095238095233E-2</v>
      </c>
      <c r="BS98">
        <v>7.9365079365079361E-2</v>
      </c>
      <c r="BT98">
        <v>7.1428571428571425E-2</v>
      </c>
      <c r="BU98">
        <v>7.1428571428571425E-2</v>
      </c>
      <c r="BV98">
        <v>0.1111111111111111</v>
      </c>
      <c r="BW98">
        <v>0.11904761904761904</v>
      </c>
      <c r="BX98">
        <v>0.11904761904761904</v>
      </c>
      <c r="BY98">
        <v>0.11904761904761904</v>
      </c>
      <c r="BZ98">
        <v>0.10317460317460317</v>
      </c>
      <c r="CA98">
        <v>0.1111111111111111</v>
      </c>
      <c r="CE98" t="s">
        <v>181</v>
      </c>
      <c r="CF98">
        <v>9.2307692307692313E-2</v>
      </c>
      <c r="CG98">
        <v>8.461538461538462E-2</v>
      </c>
      <c r="CH98">
        <v>7.6923076923076927E-2</v>
      </c>
      <c r="CI98">
        <v>7.6923076923076927E-2</v>
      </c>
      <c r="CJ98">
        <v>0.1</v>
      </c>
      <c r="CK98">
        <v>0.11538461538461539</v>
      </c>
      <c r="CL98">
        <v>0.11538461538461539</v>
      </c>
      <c r="CM98">
        <v>0.11538461538461539</v>
      </c>
      <c r="CN98">
        <v>0.1076923076923077</v>
      </c>
      <c r="CO98">
        <v>0.11538461538461539</v>
      </c>
    </row>
    <row r="99" spans="41:93" x14ac:dyDescent="0.35">
      <c r="AO99" t="s">
        <v>181</v>
      </c>
      <c r="AP99">
        <v>5530.0305895439378</v>
      </c>
      <c r="AQ99">
        <v>4977.0275305895439</v>
      </c>
      <c r="AR99">
        <v>4977.0275305895439</v>
      </c>
      <c r="AS99">
        <v>4977.0275305895439</v>
      </c>
      <c r="AT99">
        <v>7189.0397664071188</v>
      </c>
      <c r="AU99">
        <v>7189.0397664071188</v>
      </c>
      <c r="AV99">
        <v>7742.0428253615128</v>
      </c>
      <c r="AW99">
        <v>6636.0367074527248</v>
      </c>
      <c r="AX99">
        <v>6636.0367074527248</v>
      </c>
      <c r="AY99">
        <v>8295.0458843159067</v>
      </c>
      <c r="BC99" t="s">
        <v>181</v>
      </c>
      <c r="BD99">
        <v>15939.707246376811</v>
      </c>
      <c r="BE99">
        <v>14345.736521739131</v>
      </c>
      <c r="BF99">
        <v>14345.736521739131</v>
      </c>
      <c r="BG99">
        <v>14345.736521739131</v>
      </c>
      <c r="BH99">
        <v>19127.648695652173</v>
      </c>
      <c r="BI99">
        <v>22315.590144927537</v>
      </c>
      <c r="BJ99">
        <v>22315.590144927537</v>
      </c>
      <c r="BK99">
        <v>19127.648695652173</v>
      </c>
      <c r="BL99">
        <v>19127.648695652173</v>
      </c>
      <c r="BM99">
        <v>22315.590144927537</v>
      </c>
      <c r="BQ99" t="s">
        <v>181</v>
      </c>
      <c r="BR99">
        <v>12097.612903225807</v>
      </c>
      <c r="BS99">
        <v>10081.344086021505</v>
      </c>
      <c r="BT99">
        <v>9073.2096774193542</v>
      </c>
      <c r="BU99">
        <v>9073.2096774193542</v>
      </c>
      <c r="BV99">
        <v>14113.881720430107</v>
      </c>
      <c r="BW99">
        <v>15122.016129032258</v>
      </c>
      <c r="BX99">
        <v>15122.016129032258</v>
      </c>
      <c r="BY99">
        <v>15122.016129032258</v>
      </c>
      <c r="BZ99">
        <v>13105.747311827956</v>
      </c>
      <c r="CA99">
        <v>14113.881720430107</v>
      </c>
      <c r="CE99" t="s">
        <v>181</v>
      </c>
      <c r="CF99">
        <v>12719.687344913153</v>
      </c>
      <c r="CG99">
        <v>11659.713399503724</v>
      </c>
      <c r="CH99">
        <v>10599.739454094295</v>
      </c>
      <c r="CI99">
        <v>10599.739454094295</v>
      </c>
      <c r="CJ99">
        <v>13779.661290322583</v>
      </c>
      <c r="CK99">
        <v>15899.609181141441</v>
      </c>
      <c r="CL99">
        <v>15899.609181141441</v>
      </c>
      <c r="CM99">
        <v>15899.609181141441</v>
      </c>
      <c r="CN99">
        <v>14839.635235732012</v>
      </c>
      <c r="CO99">
        <v>15899.609181141441</v>
      </c>
    </row>
    <row r="100" spans="41:93" x14ac:dyDescent="0.35">
      <c r="AO100" t="s">
        <v>184</v>
      </c>
      <c r="AP100">
        <v>7.9949096971599062E-2</v>
      </c>
      <c r="AQ100">
        <v>7.634425215508267E-2</v>
      </c>
      <c r="AR100">
        <v>0.12152219819130708</v>
      </c>
      <c r="AS100">
        <v>8.4772009333338255E-2</v>
      </c>
      <c r="AT100">
        <v>0.1303190667489188</v>
      </c>
      <c r="AU100">
        <v>9.0678649919638477E-2</v>
      </c>
      <c r="AV100">
        <v>8.8024910729770089E-2</v>
      </c>
      <c r="AW100">
        <v>0.12849754499068319</v>
      </c>
      <c r="AX100">
        <v>8.179336628196783E-2</v>
      </c>
      <c r="AY100">
        <v>0.11809890467769445</v>
      </c>
      <c r="BC100" t="s">
        <v>184</v>
      </c>
      <c r="BD100">
        <v>7.470973964625599E-2</v>
      </c>
      <c r="BE100">
        <v>7.6914055941984139E-2</v>
      </c>
      <c r="BF100">
        <v>0.12282078418850546</v>
      </c>
      <c r="BG100">
        <v>8.7669407694409424E-2</v>
      </c>
      <c r="BH100">
        <v>0.13413410736094331</v>
      </c>
      <c r="BI100">
        <v>8.8681245247367327E-2</v>
      </c>
      <c r="BJ100">
        <v>9.1268652540168999E-2</v>
      </c>
      <c r="BK100">
        <v>0.12993862314379862</v>
      </c>
      <c r="BL100">
        <v>8.0047501637703716E-2</v>
      </c>
      <c r="BM100">
        <v>0.11381588259886299</v>
      </c>
      <c r="BQ100" t="s">
        <v>184</v>
      </c>
      <c r="BR100">
        <v>7.6584363232027636E-2</v>
      </c>
      <c r="BS100">
        <v>7.5542833776970214E-2</v>
      </c>
      <c r="BT100">
        <v>0.11574613297614988</v>
      </c>
      <c r="BU100">
        <v>8.3353975059453911E-2</v>
      </c>
      <c r="BV100">
        <v>0.13519262695847001</v>
      </c>
      <c r="BW100">
        <v>9.4710005531883037E-2</v>
      </c>
      <c r="BX100">
        <v>9.4144773233295953E-2</v>
      </c>
      <c r="BY100">
        <v>0.12756660255433266</v>
      </c>
      <c r="BZ100">
        <v>7.7838019452603394E-2</v>
      </c>
      <c r="CA100">
        <v>0.11932066722481321</v>
      </c>
      <c r="CE100" t="s">
        <v>184</v>
      </c>
      <c r="CF100">
        <v>7.6436260917317117E-2</v>
      </c>
      <c r="CG100">
        <v>8.1317533711188855E-2</v>
      </c>
      <c r="CH100">
        <v>0.12323731815776855</v>
      </c>
      <c r="CI100">
        <v>8.3026023427514084E-2</v>
      </c>
      <c r="CJ100">
        <v>0.14163757249947945</v>
      </c>
      <c r="CK100">
        <v>9.78864628511871E-2</v>
      </c>
      <c r="CL100">
        <v>9.2654821373905322E-2</v>
      </c>
      <c r="CM100">
        <v>0.12402181369469675</v>
      </c>
      <c r="CN100">
        <v>7.3747741626099983E-2</v>
      </c>
      <c r="CO100">
        <v>0.10603445174084281</v>
      </c>
    </row>
    <row r="101" spans="41:93" x14ac:dyDescent="0.35">
      <c r="AO101" t="s">
        <v>185</v>
      </c>
      <c r="AP101">
        <f t="shared" ref="AP101:AY101" si="54">$AP$90*AP100</f>
        <v>14289.425893884054</v>
      </c>
      <c r="AQ101">
        <f t="shared" si="54"/>
        <v>13645.126398132879</v>
      </c>
      <c r="AR101">
        <f t="shared" si="54"/>
        <v>21719.850646135972</v>
      </c>
      <c r="AS101">
        <f t="shared" si="54"/>
        <v>15151.43248803297</v>
      </c>
      <c r="AT101">
        <f t="shared" si="54"/>
        <v>23292.128584395679</v>
      </c>
      <c r="AU101">
        <f t="shared" si="54"/>
        <v>16207.135505788478</v>
      </c>
      <c r="AV101">
        <f t="shared" si="54"/>
        <v>15732.828591367781</v>
      </c>
      <c r="AW101">
        <f t="shared" si="54"/>
        <v>22966.565180125443</v>
      </c>
      <c r="AX101">
        <f t="shared" si="54"/>
        <v>14619.055003369067</v>
      </c>
      <c r="AY101">
        <f t="shared" si="54"/>
        <v>21108.000095864478</v>
      </c>
      <c r="BC101" t="s">
        <v>185</v>
      </c>
      <c r="BD101">
        <f t="shared" ref="BD101:BM101" si="55">$BD$91*BD100</f>
        <v>13233.17680276341</v>
      </c>
      <c r="BE101">
        <f t="shared" si="55"/>
        <v>13623.622645684305</v>
      </c>
      <c r="BF101">
        <f t="shared" si="55"/>
        <v>21754.983485637033</v>
      </c>
      <c r="BG101">
        <f t="shared" si="55"/>
        <v>15528.695156840991</v>
      </c>
      <c r="BH101">
        <f t="shared" si="55"/>
        <v>23758.888284081513</v>
      </c>
      <c r="BI101">
        <f t="shared" si="55"/>
        <v>15707.919784009644</v>
      </c>
      <c r="BJ101">
        <f t="shared" si="55"/>
        <v>16166.22171798138</v>
      </c>
      <c r="BK101">
        <f t="shared" si="55"/>
        <v>23015.751115065006</v>
      </c>
      <c r="BL101">
        <f t="shared" si="55"/>
        <v>14178.643197082964</v>
      </c>
      <c r="BM101">
        <f t="shared" si="55"/>
        <v>20159.964477520389</v>
      </c>
      <c r="BQ101" t="s">
        <v>185</v>
      </c>
      <c r="BR101">
        <f t="shared" ref="BR101:CA101" si="56">$BR$90*BR100</f>
        <v>5886.8868329195002</v>
      </c>
      <c r="BS101">
        <f t="shared" si="56"/>
        <v>5806.8265467681467</v>
      </c>
      <c r="BT101">
        <f t="shared" si="56"/>
        <v>8897.1737496106889</v>
      </c>
      <c r="BU101">
        <f t="shared" si="56"/>
        <v>6407.2533548701031</v>
      </c>
      <c r="BV101">
        <f t="shared" si="56"/>
        <v>10391.986849043673</v>
      </c>
      <c r="BW101">
        <f t="shared" si="56"/>
        <v>7280.1687052247853</v>
      </c>
      <c r="BX101">
        <f t="shared" si="56"/>
        <v>7236.7204288969933</v>
      </c>
      <c r="BY101">
        <f t="shared" si="56"/>
        <v>9805.7896051464431</v>
      </c>
      <c r="BZ101">
        <f t="shared" si="56"/>
        <v>5983.2528792827179</v>
      </c>
      <c r="CA101">
        <f t="shared" si="56"/>
        <v>9171.9410482369422</v>
      </c>
      <c r="CE101" t="s">
        <v>185</v>
      </c>
      <c r="CF101">
        <f t="shared" ref="CF101:CO101" si="57">$CF$90*CF100</f>
        <v>4609.937469440968</v>
      </c>
      <c r="CG101">
        <f t="shared" si="57"/>
        <v>4904.3312830705154</v>
      </c>
      <c r="CH101">
        <f t="shared" si="57"/>
        <v>7432.549993823739</v>
      </c>
      <c r="CI101">
        <f t="shared" si="57"/>
        <v>5007.3717859015205</v>
      </c>
      <c r="CJ101">
        <f t="shared" si="57"/>
        <v>8542.2853592002975</v>
      </c>
      <c r="CK101">
        <f t="shared" si="57"/>
        <v>5903.6178305066096</v>
      </c>
      <c r="CL101">
        <f t="shared" si="57"/>
        <v>5588.0929764207813</v>
      </c>
      <c r="CM101">
        <f t="shared" si="57"/>
        <v>7479.8636029261852</v>
      </c>
      <c r="CN101">
        <f t="shared" si="57"/>
        <v>4447.7905293740869</v>
      </c>
      <c r="CO101">
        <f t="shared" si="57"/>
        <v>6395.0301370772295</v>
      </c>
    </row>
    <row r="102" spans="41:93" x14ac:dyDescent="0.35">
      <c r="AO102" t="s">
        <v>93</v>
      </c>
      <c r="AP102">
        <v>0</v>
      </c>
      <c r="AQ102">
        <v>0</v>
      </c>
      <c r="AR102">
        <v>1.6912276481376876E-2</v>
      </c>
      <c r="AS102">
        <v>0.12472034774389343</v>
      </c>
      <c r="AT102">
        <v>0.291295855562761</v>
      </c>
      <c r="AU102">
        <v>0.20254610956859612</v>
      </c>
      <c r="AV102">
        <v>0.19518989845648871</v>
      </c>
      <c r="AW102">
        <v>0.16128482373776326</v>
      </c>
      <c r="AX102">
        <v>8.0506884491207721E-3</v>
      </c>
      <c r="AY102">
        <v>0</v>
      </c>
      <c r="BC102" t="s">
        <v>93</v>
      </c>
      <c r="BD102">
        <v>0</v>
      </c>
      <c r="BE102">
        <v>0</v>
      </c>
      <c r="BF102">
        <v>1.5487411151974733E-2</v>
      </c>
      <c r="BG102">
        <v>0.1221564823799694</v>
      </c>
      <c r="BH102">
        <v>0.2967372598116621</v>
      </c>
      <c r="BI102">
        <v>0.21212829109425207</v>
      </c>
      <c r="BJ102">
        <v>0.19128534809333653</v>
      </c>
      <c r="BK102">
        <v>0.15291595696633917</v>
      </c>
      <c r="BL102">
        <v>9.2892505024658872E-3</v>
      </c>
      <c r="BM102">
        <v>0</v>
      </c>
      <c r="BQ102" t="s">
        <v>93</v>
      </c>
      <c r="BR102">
        <v>0</v>
      </c>
      <c r="BS102">
        <v>0</v>
      </c>
      <c r="BT102">
        <v>1.1707552130811679E-2</v>
      </c>
      <c r="BU102">
        <v>0.12818065899972236</v>
      </c>
      <c r="BV102">
        <v>0.28111525335227833</v>
      </c>
      <c r="BW102">
        <v>0.19245757582740558</v>
      </c>
      <c r="BX102">
        <v>0.19983338164565645</v>
      </c>
      <c r="BY102">
        <v>0.17544534451004457</v>
      </c>
      <c r="BZ102">
        <v>1.1260233534081022E-2</v>
      </c>
      <c r="CA102">
        <v>0</v>
      </c>
      <c r="CE102" t="s">
        <v>93</v>
      </c>
      <c r="CF102">
        <v>0</v>
      </c>
      <c r="CG102">
        <v>0</v>
      </c>
      <c r="CH102">
        <v>8.8302227546138336E-3</v>
      </c>
      <c r="CI102">
        <v>0.13767769669300842</v>
      </c>
      <c r="CJ102">
        <v>0.28081797633474381</v>
      </c>
      <c r="CK102">
        <v>0.20245599013898169</v>
      </c>
      <c r="CL102">
        <v>0.18944301310275516</v>
      </c>
      <c r="CM102">
        <v>0.17509035529631645</v>
      </c>
      <c r="CN102">
        <v>5.684745679580442E-3</v>
      </c>
      <c r="CO102">
        <v>0</v>
      </c>
    </row>
    <row r="103" spans="41:93" x14ac:dyDescent="0.35">
      <c r="AO103" t="s">
        <v>189</v>
      </c>
      <c r="AP103">
        <f t="shared" ref="AP103:AY103" si="58">$AP$91*AP102</f>
        <v>0</v>
      </c>
      <c r="AQ103">
        <f t="shared" si="58"/>
        <v>0</v>
      </c>
      <c r="AR103">
        <f t="shared" si="58"/>
        <v>92.247739289017233</v>
      </c>
      <c r="AS103">
        <f t="shared" si="58"/>
        <v>680.28512515055468</v>
      </c>
      <c r="AT103">
        <f t="shared" si="58"/>
        <v>1588.8685458468287</v>
      </c>
      <c r="AU103">
        <f t="shared" si="58"/>
        <v>1104.7844877691725</v>
      </c>
      <c r="AV103">
        <f t="shared" si="58"/>
        <v>1064.6601529067489</v>
      </c>
      <c r="AW103">
        <f t="shared" si="58"/>
        <v>879.72546970950486</v>
      </c>
      <c r="AX103">
        <f t="shared" si="58"/>
        <v>43.912350295915552</v>
      </c>
      <c r="AY103">
        <f t="shared" si="58"/>
        <v>0</v>
      </c>
      <c r="BC103" t="s">
        <v>189</v>
      </c>
      <c r="BD103">
        <f t="shared" ref="BD103:BM103" si="59">$BD$92*BD102</f>
        <v>0</v>
      </c>
      <c r="BE103">
        <f t="shared" si="59"/>
        <v>0</v>
      </c>
      <c r="BF103">
        <f t="shared" si="59"/>
        <v>87.600153081318695</v>
      </c>
      <c r="BG103">
        <f t="shared" si="59"/>
        <v>690.94353157895603</v>
      </c>
      <c r="BH103">
        <f t="shared" si="59"/>
        <v>1678.4102345677202</v>
      </c>
      <c r="BI103">
        <f t="shared" si="59"/>
        <v>1199.8435755588268</v>
      </c>
      <c r="BJ103">
        <f t="shared" si="59"/>
        <v>1081.9513739746651</v>
      </c>
      <c r="BK103">
        <f t="shared" si="59"/>
        <v>864.92578439229044</v>
      </c>
      <c r="BL103">
        <f t="shared" si="59"/>
        <v>52.542013512889262</v>
      </c>
      <c r="BM103">
        <f t="shared" si="59"/>
        <v>0</v>
      </c>
      <c r="BQ103" t="s">
        <v>189</v>
      </c>
      <c r="BR103">
        <f t="shared" ref="BR103:CA103" si="60">$BR$91*BR102</f>
        <v>0</v>
      </c>
      <c r="BS103">
        <f t="shared" si="60"/>
        <v>0</v>
      </c>
      <c r="BT103">
        <f t="shared" si="60"/>
        <v>72.082762736738047</v>
      </c>
      <c r="BU103">
        <f t="shared" si="60"/>
        <v>789.20135711367834</v>
      </c>
      <c r="BV103">
        <f t="shared" si="60"/>
        <v>1730.8113500294464</v>
      </c>
      <c r="BW103">
        <f t="shared" si="60"/>
        <v>1184.9508437160252</v>
      </c>
      <c r="BX103">
        <f t="shared" si="60"/>
        <v>1230.3632796248089</v>
      </c>
      <c r="BY103">
        <f t="shared" si="60"/>
        <v>1080.2074592774868</v>
      </c>
      <c r="BZ103">
        <f t="shared" si="60"/>
        <v>69.32864642654819</v>
      </c>
      <c r="CA103">
        <f t="shared" si="60"/>
        <v>0</v>
      </c>
      <c r="CE103" t="s">
        <v>189</v>
      </c>
      <c r="CF103">
        <f t="shared" ref="CF103:CO103" si="61">$CF$91*CF102</f>
        <v>0</v>
      </c>
      <c r="CG103">
        <f t="shared" si="61"/>
        <v>0</v>
      </c>
      <c r="CH103">
        <f t="shared" si="61"/>
        <v>52.842046884876346</v>
      </c>
      <c r="CI103">
        <f t="shared" si="61"/>
        <v>823.8944255231188</v>
      </c>
      <c r="CJ103">
        <f t="shared" si="61"/>
        <v>1680.4781808978921</v>
      </c>
      <c r="CK103">
        <f t="shared" si="61"/>
        <v>1211.5423608604074</v>
      </c>
      <c r="CL103">
        <f t="shared" si="61"/>
        <v>1133.6697678614585</v>
      </c>
      <c r="CM103">
        <f t="shared" si="61"/>
        <v>1047.7802226249987</v>
      </c>
      <c r="CN103">
        <f t="shared" si="61"/>
        <v>34.018801798859592</v>
      </c>
      <c r="CO103">
        <f t="shared" si="61"/>
        <v>0</v>
      </c>
    </row>
    <row r="104" spans="41:93" x14ac:dyDescent="0.35">
      <c r="AO104" t="s">
        <v>172</v>
      </c>
      <c r="AP104">
        <v>72.50322580645161</v>
      </c>
      <c r="AQ104">
        <v>72.50322580645161</v>
      </c>
      <c r="AR104">
        <v>72.50322580645161</v>
      </c>
      <c r="AS104">
        <v>72.50322580645161</v>
      </c>
      <c r="AT104">
        <v>72.50322580645161</v>
      </c>
      <c r="AU104">
        <v>72.50322580645161</v>
      </c>
      <c r="AV104">
        <v>72.50322580645161</v>
      </c>
      <c r="AW104">
        <v>72.50322580645161</v>
      </c>
      <c r="AX104">
        <v>72.50322580645161</v>
      </c>
      <c r="AY104">
        <v>72.50322580645161</v>
      </c>
      <c r="BC104" t="s">
        <v>172</v>
      </c>
      <c r="BD104">
        <v>5.9399999999999995</v>
      </c>
      <c r="BE104">
        <v>5.9399999999999995</v>
      </c>
      <c r="BF104">
        <v>5.9399999999999995</v>
      </c>
      <c r="BG104">
        <v>5.9399999999999995</v>
      </c>
      <c r="BH104">
        <v>5.9399999999999995</v>
      </c>
      <c r="BI104">
        <v>5.9399999999999995</v>
      </c>
      <c r="BJ104">
        <v>5.9399999999999995</v>
      </c>
      <c r="BK104">
        <v>5.9399999999999995</v>
      </c>
      <c r="BL104">
        <v>5.9399999999999995</v>
      </c>
      <c r="BM104">
        <v>5.9399999999999995</v>
      </c>
      <c r="BQ104" t="s">
        <v>172</v>
      </c>
      <c r="BR104">
        <v>3.9935483870967743</v>
      </c>
      <c r="BS104">
        <v>3.9935483870967743</v>
      </c>
      <c r="BT104">
        <v>3.9935483870967743</v>
      </c>
      <c r="BU104">
        <v>3.9935483870967743</v>
      </c>
      <c r="BV104">
        <v>3.9935483870967743</v>
      </c>
      <c r="BW104">
        <v>3.9935483870967743</v>
      </c>
      <c r="BX104">
        <v>3.9935483870967743</v>
      </c>
      <c r="BY104">
        <v>3.9935483870967743</v>
      </c>
      <c r="BZ104">
        <v>3.9935483870967743</v>
      </c>
      <c r="CA104">
        <v>3.9935483870967743</v>
      </c>
      <c r="CE104" t="s">
        <v>172</v>
      </c>
      <c r="CF104">
        <v>0</v>
      </c>
      <c r="CG104">
        <v>0</v>
      </c>
      <c r="CH104">
        <v>0</v>
      </c>
      <c r="CI104">
        <v>0</v>
      </c>
      <c r="CJ104">
        <v>0</v>
      </c>
      <c r="CK104">
        <v>0</v>
      </c>
      <c r="CL104">
        <v>0</v>
      </c>
      <c r="CM104">
        <v>0</v>
      </c>
      <c r="CN104">
        <v>0</v>
      </c>
      <c r="CO104">
        <v>0</v>
      </c>
    </row>
    <row r="105" spans="41:93" x14ac:dyDescent="0.35">
      <c r="AO105" t="s">
        <v>170</v>
      </c>
      <c r="AP105">
        <v>0</v>
      </c>
      <c r="AQ105">
        <v>0</v>
      </c>
      <c r="AR105">
        <v>0</v>
      </c>
      <c r="AS105">
        <v>0</v>
      </c>
      <c r="AT105">
        <v>0</v>
      </c>
      <c r="AU105">
        <v>0</v>
      </c>
      <c r="AV105">
        <v>0</v>
      </c>
      <c r="AW105">
        <v>0</v>
      </c>
      <c r="AX105">
        <v>0</v>
      </c>
      <c r="AY105">
        <v>0</v>
      </c>
      <c r="BC105" t="s">
        <v>170</v>
      </c>
      <c r="BD105">
        <v>0</v>
      </c>
      <c r="BE105">
        <v>0</v>
      </c>
      <c r="BF105">
        <v>0</v>
      </c>
      <c r="BG105">
        <v>0</v>
      </c>
      <c r="BH105">
        <v>0</v>
      </c>
      <c r="BI105">
        <v>0</v>
      </c>
      <c r="BJ105">
        <v>0</v>
      </c>
      <c r="BK105">
        <v>0</v>
      </c>
      <c r="BL105">
        <v>0</v>
      </c>
      <c r="BM105">
        <v>0</v>
      </c>
      <c r="BQ105" t="s">
        <v>170</v>
      </c>
      <c r="BR105">
        <v>0</v>
      </c>
      <c r="BS105">
        <v>0</v>
      </c>
      <c r="BT105">
        <v>0</v>
      </c>
      <c r="BU105">
        <v>0</v>
      </c>
      <c r="BV105">
        <v>0</v>
      </c>
      <c r="BW105">
        <v>0</v>
      </c>
      <c r="BX105">
        <v>0</v>
      </c>
      <c r="BY105">
        <v>0</v>
      </c>
      <c r="BZ105">
        <v>0</v>
      </c>
      <c r="CA105">
        <v>0</v>
      </c>
      <c r="CE105" t="s">
        <v>170</v>
      </c>
      <c r="CF105">
        <v>0</v>
      </c>
      <c r="CG105">
        <v>0</v>
      </c>
      <c r="CH105">
        <v>0</v>
      </c>
      <c r="CI105">
        <v>0</v>
      </c>
      <c r="CJ105">
        <v>0</v>
      </c>
      <c r="CK105">
        <v>0</v>
      </c>
      <c r="CL105">
        <v>0</v>
      </c>
      <c r="CM105">
        <v>0</v>
      </c>
      <c r="CN105">
        <v>0</v>
      </c>
      <c r="CO105">
        <v>0</v>
      </c>
    </row>
    <row r="107" spans="41:93" x14ac:dyDescent="0.35">
      <c r="AO107" t="s">
        <v>194</v>
      </c>
      <c r="AP107">
        <f t="shared" ref="AP107:AY107" si="62">SUM(AP101,AP103:AP105)</f>
        <v>14361.929119690505</v>
      </c>
      <c r="AQ107">
        <f t="shared" si="62"/>
        <v>13717.62962393933</v>
      </c>
      <c r="AR107">
        <f t="shared" si="62"/>
        <v>21884.601611231443</v>
      </c>
      <c r="AS107">
        <f t="shared" si="62"/>
        <v>15904.220838989975</v>
      </c>
      <c r="AT107">
        <f t="shared" si="62"/>
        <v>24953.50035604896</v>
      </c>
      <c r="AU107">
        <f t="shared" si="62"/>
        <v>17384.423219364104</v>
      </c>
      <c r="AV107">
        <f t="shared" si="62"/>
        <v>16869.991970080984</v>
      </c>
      <c r="AW107">
        <f t="shared" si="62"/>
        <v>23918.793875641401</v>
      </c>
      <c r="AX107">
        <f t="shared" si="62"/>
        <v>14735.470579471434</v>
      </c>
      <c r="AY107">
        <f t="shared" si="62"/>
        <v>21180.503321670931</v>
      </c>
      <c r="BC107" t="s">
        <v>194</v>
      </c>
      <c r="BD107">
        <f t="shared" ref="BD107:BM107" si="63">SUM(BD101,BD103:BD105)</f>
        <v>13239.11680276341</v>
      </c>
      <c r="BE107">
        <f t="shared" si="63"/>
        <v>13629.562645684306</v>
      </c>
      <c r="BF107">
        <f t="shared" si="63"/>
        <v>21848.52363871835</v>
      </c>
      <c r="BG107">
        <f t="shared" si="63"/>
        <v>16225.578688419948</v>
      </c>
      <c r="BH107">
        <f t="shared" si="63"/>
        <v>25443.238518649232</v>
      </c>
      <c r="BI107">
        <f t="shared" si="63"/>
        <v>16913.70335956847</v>
      </c>
      <c r="BJ107">
        <f t="shared" si="63"/>
        <v>17254.113091956042</v>
      </c>
      <c r="BK107">
        <f t="shared" si="63"/>
        <v>23886.616899457294</v>
      </c>
      <c r="BL107">
        <f t="shared" si="63"/>
        <v>14237.125210595854</v>
      </c>
      <c r="BM107">
        <f t="shared" si="63"/>
        <v>20165.904477520387</v>
      </c>
      <c r="BQ107" t="s">
        <v>194</v>
      </c>
      <c r="BR107">
        <f t="shared" ref="BR107:CA107" si="64">SUM(BR101,BR103:BR105)</f>
        <v>5890.880381306597</v>
      </c>
      <c r="BS107">
        <f t="shared" si="64"/>
        <v>5810.8200951552435</v>
      </c>
      <c r="BT107">
        <f t="shared" si="64"/>
        <v>8973.2500607345228</v>
      </c>
      <c r="BU107">
        <f t="shared" si="64"/>
        <v>7200.4482603708784</v>
      </c>
      <c r="BV107">
        <f t="shared" si="64"/>
        <v>12126.791747460215</v>
      </c>
      <c r="BW107">
        <f t="shared" si="64"/>
        <v>8469.1130973279069</v>
      </c>
      <c r="BX107">
        <f t="shared" si="64"/>
        <v>8471.0772569088986</v>
      </c>
      <c r="BY107">
        <f t="shared" si="64"/>
        <v>10889.990612811025</v>
      </c>
      <c r="BZ107">
        <f t="shared" si="64"/>
        <v>6056.5750740963631</v>
      </c>
      <c r="CA107">
        <f t="shared" si="64"/>
        <v>9175.934596624038</v>
      </c>
      <c r="CE107" t="s">
        <v>194</v>
      </c>
      <c r="CF107">
        <f t="shared" ref="CF107:CO107" si="65">SUM(CF103:CF105,CF101)</f>
        <v>4609.937469440968</v>
      </c>
      <c r="CG107">
        <f t="shared" si="65"/>
        <v>4904.3312830705154</v>
      </c>
      <c r="CH107">
        <f t="shared" si="65"/>
        <v>7485.3920407086152</v>
      </c>
      <c r="CI107">
        <f t="shared" si="65"/>
        <v>5831.2662114246396</v>
      </c>
      <c r="CJ107">
        <f t="shared" si="65"/>
        <v>10222.763540098189</v>
      </c>
      <c r="CK107">
        <f t="shared" si="65"/>
        <v>7115.1601913670165</v>
      </c>
      <c r="CL107">
        <f t="shared" si="65"/>
        <v>6721.7627442822395</v>
      </c>
      <c r="CM107">
        <f t="shared" si="65"/>
        <v>8527.6438255511839</v>
      </c>
      <c r="CN107">
        <f t="shared" si="65"/>
        <v>4481.8093311729463</v>
      </c>
      <c r="CO107">
        <f t="shared" si="65"/>
        <v>6395.0301370772295</v>
      </c>
    </row>
    <row r="108" spans="41:93" x14ac:dyDescent="0.35">
      <c r="AO108" t="s">
        <v>335</v>
      </c>
      <c r="AP108">
        <f>AP107-AP99</f>
        <v>8831.8985301465673</v>
      </c>
      <c r="AQ108">
        <f t="shared" ref="AQ108" si="66">AQ107-AQ99</f>
        <v>8740.6020933497857</v>
      </c>
      <c r="AR108">
        <f t="shared" ref="AR108" si="67">AR107-AR99</f>
        <v>16907.574080641898</v>
      </c>
      <c r="AS108">
        <f t="shared" ref="AS108" si="68">AS107-AS99</f>
        <v>10927.19330840043</v>
      </c>
      <c r="AT108">
        <f t="shared" ref="AT108" si="69">AT107-AT99</f>
        <v>17764.460589641843</v>
      </c>
      <c r="AU108">
        <f t="shared" ref="AU108" si="70">AU107-AU99</f>
        <v>10195.383452956985</v>
      </c>
      <c r="AV108">
        <f t="shared" ref="AV108" si="71">AV107-AV99</f>
        <v>9127.9491447194705</v>
      </c>
      <c r="AW108">
        <f t="shared" ref="AW108" si="72">AW107-AW99</f>
        <v>17282.757168188677</v>
      </c>
      <c r="AX108">
        <f t="shared" ref="AX108" si="73">AX107-AX99</f>
        <v>8099.4338720187088</v>
      </c>
      <c r="AY108">
        <f t="shared" ref="AY108" si="74">AY107-AY99</f>
        <v>12885.457437355024</v>
      </c>
      <c r="BC108" t="s">
        <v>335</v>
      </c>
      <c r="BD108">
        <f>BD107-BD99</f>
        <v>-2700.5904436134006</v>
      </c>
      <c r="BE108">
        <f t="shared" ref="BE108" si="75">BE107-BE99</f>
        <v>-716.17387605482509</v>
      </c>
      <c r="BF108">
        <f t="shared" ref="BF108" si="76">BF107-BF99</f>
        <v>7502.7871169792197</v>
      </c>
      <c r="BG108">
        <f t="shared" ref="BG108" si="77">BG107-BG99</f>
        <v>1879.8421666808172</v>
      </c>
      <c r="BH108">
        <f t="shared" ref="BH108" si="78">BH107-BH99</f>
        <v>6315.5898229970589</v>
      </c>
      <c r="BI108">
        <f t="shared" ref="BI108" si="79">BI107-BI99</f>
        <v>-5401.8867853590673</v>
      </c>
      <c r="BJ108">
        <f t="shared" ref="BJ108" si="80">BJ107-BJ99</f>
        <v>-5061.4770529714951</v>
      </c>
      <c r="BK108">
        <f t="shared" ref="BK108" si="81">BK107-BK99</f>
        <v>4758.9682038051214</v>
      </c>
      <c r="BL108">
        <f t="shared" ref="BL108" si="82">BL107-BL99</f>
        <v>-4890.5234850563193</v>
      </c>
      <c r="BM108">
        <f t="shared" ref="BM108" si="83">BM107-BM99</f>
        <v>-2149.6856674071496</v>
      </c>
      <c r="BQ108" t="s">
        <v>335</v>
      </c>
      <c r="BR108">
        <f>BR107-BR99</f>
        <v>-6206.7325219192098</v>
      </c>
      <c r="BS108">
        <f t="shared" ref="BS108" si="84">BS107-BS99</f>
        <v>-4270.5239908662616</v>
      </c>
      <c r="BT108">
        <f t="shared" ref="BT108" si="85">BT107-BT99</f>
        <v>-99.959616684831417</v>
      </c>
      <c r="BU108">
        <f t="shared" ref="BU108" si="86">BU107-BU99</f>
        <v>-1872.7614170484758</v>
      </c>
      <c r="BV108">
        <f t="shared" ref="BV108" si="87">BV107-BV99</f>
        <v>-1987.0899729698922</v>
      </c>
      <c r="BW108">
        <f t="shared" ref="BW108" si="88">BW107-BW99</f>
        <v>-6652.9030317043507</v>
      </c>
      <c r="BX108">
        <f t="shared" ref="BX108" si="89">BX107-BX99</f>
        <v>-6650.938872123359</v>
      </c>
      <c r="BY108">
        <f t="shared" ref="BY108" si="90">BY107-BY99</f>
        <v>-4232.0255162212325</v>
      </c>
      <c r="BZ108">
        <f t="shared" ref="BZ108" si="91">BZ107-BZ99</f>
        <v>-7049.1722377315928</v>
      </c>
      <c r="CA108">
        <f t="shared" ref="CA108" si="92">CA107-CA99</f>
        <v>-4937.9471238060687</v>
      </c>
      <c r="CE108" t="s">
        <v>335</v>
      </c>
      <c r="CF108">
        <f>CF107-CF99</f>
        <v>-8109.7498754721846</v>
      </c>
      <c r="CG108">
        <f t="shared" ref="CG108" si="93">CG107-CG99</f>
        <v>-6755.3821164332085</v>
      </c>
      <c r="CH108">
        <f t="shared" ref="CH108" si="94">CH107-CH99</f>
        <v>-3114.3474133856798</v>
      </c>
      <c r="CI108">
        <f t="shared" ref="CI108" si="95">CI107-CI99</f>
        <v>-4768.4732426696555</v>
      </c>
      <c r="CJ108">
        <f t="shared" ref="CJ108" si="96">CJ107-CJ99</f>
        <v>-3556.8977502243943</v>
      </c>
      <c r="CK108">
        <f t="shared" ref="CK108" si="97">CK107-CK99</f>
        <v>-8784.4489897744243</v>
      </c>
      <c r="CL108">
        <f t="shared" ref="CL108" si="98">CL107-CL99</f>
        <v>-9177.8464368592013</v>
      </c>
      <c r="CM108">
        <f t="shared" ref="CM108" si="99">CM107-CM99</f>
        <v>-7371.9653555902569</v>
      </c>
      <c r="CN108">
        <f t="shared" ref="CN108" si="100">CN107-CN99</f>
        <v>-10357.825904559066</v>
      </c>
      <c r="CO108">
        <f t="shared" ref="CO108" si="101">CO107-CO99</f>
        <v>-9504.5790440642122</v>
      </c>
    </row>
    <row r="112" spans="41:93" x14ac:dyDescent="0.35">
      <c r="AO112" t="s">
        <v>338</v>
      </c>
      <c r="AP112">
        <f>SUMIF(AP108:AY108,"&lt;0")</f>
        <v>0</v>
      </c>
      <c r="BC112" t="s">
        <v>338</v>
      </c>
      <c r="BD112">
        <f>SUMIF(BD108:BM108,"&lt;0")</f>
        <v>-20920.337310462255</v>
      </c>
      <c r="BQ112" t="s">
        <v>338</v>
      </c>
      <c r="BR112">
        <f>SUMIF(BR108:CA108,"&lt;0")</f>
        <v>-43960.054301075274</v>
      </c>
      <c r="CE112" t="s">
        <v>338</v>
      </c>
      <c r="CF112">
        <f>SUMIF(CF108:CO108,"&lt;0")</f>
        <v>-71501.516129032287</v>
      </c>
    </row>
    <row r="119" spans="41:41" x14ac:dyDescent="0.35">
      <c r="AO119" t="s">
        <v>371</v>
      </c>
    </row>
    <row r="120" spans="41:41" x14ac:dyDescent="0.35">
      <c r="AO120" t="s">
        <v>372</v>
      </c>
    </row>
    <row r="121" spans="41:41" x14ac:dyDescent="0.35">
      <c r="AO121" t="s">
        <v>373</v>
      </c>
    </row>
    <row r="122" spans="41:41" x14ac:dyDescent="0.35">
      <c r="AO122" t="s">
        <v>374</v>
      </c>
    </row>
    <row r="126" spans="41:41" x14ac:dyDescent="0.35">
      <c r="AO126" t="s">
        <v>375</v>
      </c>
    </row>
    <row r="132" spans="40:84" x14ac:dyDescent="0.35">
      <c r="AN132" t="s">
        <v>187</v>
      </c>
      <c r="BB132" t="s">
        <v>191</v>
      </c>
      <c r="BP132" t="s">
        <v>193</v>
      </c>
      <c r="CD132" t="s">
        <v>195</v>
      </c>
    </row>
    <row r="141" spans="40:84" x14ac:dyDescent="0.35">
      <c r="AO141" t="s">
        <v>181</v>
      </c>
      <c r="AP141">
        <v>139969.5</v>
      </c>
    </row>
    <row r="142" spans="40:84" x14ac:dyDescent="0.35">
      <c r="AO142" t="s">
        <v>201</v>
      </c>
      <c r="AP142">
        <f>13570+AI16/30</f>
        <v>149270</v>
      </c>
      <c r="BC142" t="s">
        <v>181</v>
      </c>
      <c r="BD142">
        <v>127022.83870967742</v>
      </c>
      <c r="BQ142" t="s">
        <v>181</v>
      </c>
      <c r="BR142">
        <v>124433.60000000001</v>
      </c>
      <c r="CE142" t="s">
        <v>181</v>
      </c>
      <c r="CF142">
        <v>115096.96774193548</v>
      </c>
    </row>
    <row r="143" spans="40:84" x14ac:dyDescent="0.35">
      <c r="AO143" t="s">
        <v>93</v>
      </c>
      <c r="AP143">
        <f>99.1333333333333+AH16/30</f>
        <v>5213.2166666666662</v>
      </c>
      <c r="BC143" t="s">
        <v>201</v>
      </c>
      <c r="BD143">
        <f>16152.1935483871+AI17/31</f>
        <v>177674.12903225806</v>
      </c>
      <c r="BQ143" t="s">
        <v>201</v>
      </c>
      <c r="BR143">
        <f>15785.2333333333+AI18/30</f>
        <v>173637.56666666665</v>
      </c>
      <c r="CE143" t="s">
        <v>201</v>
      </c>
      <c r="CF143">
        <f>20242.7419354839+AI19/31</f>
        <v>222670.16129032263</v>
      </c>
    </row>
    <row r="144" spans="40:84" x14ac:dyDescent="0.35">
      <c r="AO144" t="s">
        <v>170</v>
      </c>
      <c r="AP144">
        <v>0</v>
      </c>
      <c r="BC144" t="s">
        <v>93</v>
      </c>
      <c r="BD144">
        <f>85.7096774193548+AH17/31</f>
        <v>3895.9677419354839</v>
      </c>
      <c r="BQ144" t="s">
        <v>93</v>
      </c>
      <c r="BR144">
        <f>55.7666666666667+AH18/30</f>
        <v>2956.1000000000004</v>
      </c>
      <c r="CE144" t="s">
        <v>93</v>
      </c>
      <c r="CF144">
        <f>47.3870967741936+AH19/31</f>
        <v>2282.8709677419356</v>
      </c>
    </row>
    <row r="145" spans="41:93" x14ac:dyDescent="0.35">
      <c r="AO145" t="s">
        <v>172</v>
      </c>
      <c r="AP145">
        <v>91.466666666666669</v>
      </c>
      <c r="BC145" t="s">
        <v>170</v>
      </c>
      <c r="BD145">
        <v>0</v>
      </c>
      <c r="BQ145" t="s">
        <v>170</v>
      </c>
      <c r="BR145">
        <v>0</v>
      </c>
      <c r="CE145" t="s">
        <v>170</v>
      </c>
      <c r="CF145">
        <v>0</v>
      </c>
    </row>
    <row r="146" spans="41:93" x14ac:dyDescent="0.35">
      <c r="BC146" t="s">
        <v>172</v>
      </c>
      <c r="BD146">
        <v>396.77419354838707</v>
      </c>
      <c r="BQ146" t="s">
        <v>172</v>
      </c>
      <c r="BR146">
        <v>920.13333333333333</v>
      </c>
      <c r="CE146" t="s">
        <v>172</v>
      </c>
      <c r="CF146">
        <v>1204.8387096774193</v>
      </c>
    </row>
    <row r="149" spans="41:93" x14ac:dyDescent="0.35">
      <c r="AP149" t="s">
        <v>154</v>
      </c>
      <c r="AQ149" t="s">
        <v>155</v>
      </c>
      <c r="AR149" t="s">
        <v>156</v>
      </c>
      <c r="AS149" t="s">
        <v>157</v>
      </c>
      <c r="AT149" t="s">
        <v>158</v>
      </c>
      <c r="AU149" t="s">
        <v>159</v>
      </c>
      <c r="AV149" t="s">
        <v>160</v>
      </c>
      <c r="AW149" t="s">
        <v>161</v>
      </c>
      <c r="AX149" t="s">
        <v>162</v>
      </c>
      <c r="AY149" t="s">
        <v>163</v>
      </c>
      <c r="BD149" t="s">
        <v>154</v>
      </c>
      <c r="BE149" t="s">
        <v>155</v>
      </c>
      <c r="BF149" t="s">
        <v>156</v>
      </c>
      <c r="BG149" t="s">
        <v>157</v>
      </c>
      <c r="BH149" t="s">
        <v>158</v>
      </c>
      <c r="BI149" t="s">
        <v>159</v>
      </c>
      <c r="BJ149" t="s">
        <v>160</v>
      </c>
      <c r="BK149" t="s">
        <v>161</v>
      </c>
      <c r="BL149" t="s">
        <v>162</v>
      </c>
      <c r="BM149" t="s">
        <v>163</v>
      </c>
      <c r="BR149" t="s">
        <v>154</v>
      </c>
      <c r="BS149" t="s">
        <v>155</v>
      </c>
      <c r="BT149" t="s">
        <v>156</v>
      </c>
      <c r="BU149" t="s">
        <v>157</v>
      </c>
      <c r="BV149" t="s">
        <v>158</v>
      </c>
      <c r="BW149" t="s">
        <v>159</v>
      </c>
      <c r="BX149" t="s">
        <v>160</v>
      </c>
      <c r="BY149" t="s">
        <v>161</v>
      </c>
      <c r="BZ149" t="s">
        <v>162</v>
      </c>
      <c r="CA149" t="s">
        <v>163</v>
      </c>
      <c r="CF149" t="s">
        <v>154</v>
      </c>
      <c r="CG149" t="s">
        <v>155</v>
      </c>
      <c r="CH149" t="s">
        <v>156</v>
      </c>
      <c r="CI149" t="s">
        <v>157</v>
      </c>
      <c r="CJ149" t="s">
        <v>158</v>
      </c>
      <c r="CK149" t="s">
        <v>159</v>
      </c>
      <c r="CL149" t="s">
        <v>160</v>
      </c>
      <c r="CM149" t="s">
        <v>161</v>
      </c>
      <c r="CN149" t="s">
        <v>162</v>
      </c>
      <c r="CO149" t="s">
        <v>163</v>
      </c>
    </row>
    <row r="150" spans="41:93" x14ac:dyDescent="0.35">
      <c r="AO150" t="s">
        <v>181</v>
      </c>
      <c r="AP150">
        <v>9.1603053435114504E-2</v>
      </c>
      <c r="AQ150">
        <v>8.3969465648854963E-2</v>
      </c>
      <c r="AR150">
        <v>7.6335877862595422E-2</v>
      </c>
      <c r="AS150">
        <v>8.3969465648854963E-2</v>
      </c>
      <c r="AT150">
        <v>9.9236641221374045E-2</v>
      </c>
      <c r="AU150">
        <v>0.11450381679389313</v>
      </c>
      <c r="AV150">
        <v>0.11450381679389313</v>
      </c>
      <c r="AW150">
        <v>0.11450381679389313</v>
      </c>
      <c r="AX150">
        <v>0.10687022900763359</v>
      </c>
      <c r="AY150">
        <v>0.11450381679389313</v>
      </c>
      <c r="BC150" t="s">
        <v>181</v>
      </c>
      <c r="BD150">
        <v>9.0163934426229511E-2</v>
      </c>
      <c r="BE150">
        <v>8.1967213114754092E-2</v>
      </c>
      <c r="BF150">
        <v>8.1967213114754092E-2</v>
      </c>
      <c r="BG150">
        <v>8.1967213114754092E-2</v>
      </c>
      <c r="BH150">
        <v>9.8360655737704916E-2</v>
      </c>
      <c r="BI150">
        <v>0.11475409836065574</v>
      </c>
      <c r="BJ150">
        <v>0.11475409836065574</v>
      </c>
      <c r="BK150">
        <v>9.8360655737704916E-2</v>
      </c>
      <c r="BL150">
        <v>0.12295081967213115</v>
      </c>
      <c r="BM150">
        <v>0.11475409836065574</v>
      </c>
      <c r="BQ150" t="s">
        <v>181</v>
      </c>
      <c r="BR150">
        <v>8.4745762711864403E-2</v>
      </c>
      <c r="BS150">
        <v>7.6271186440677971E-2</v>
      </c>
      <c r="BT150">
        <v>7.6271186440677971E-2</v>
      </c>
      <c r="BU150">
        <v>8.4745762711864403E-2</v>
      </c>
      <c r="BV150">
        <v>0.10169491525423729</v>
      </c>
      <c r="BW150">
        <v>0.11016949152542373</v>
      </c>
      <c r="BX150">
        <v>0.11016949152542373</v>
      </c>
      <c r="BY150">
        <v>0.10169491525423729</v>
      </c>
      <c r="BZ150">
        <v>0.1271186440677966</v>
      </c>
      <c r="CA150">
        <v>0.1271186440677966</v>
      </c>
      <c r="CE150" t="s">
        <v>181</v>
      </c>
      <c r="CF150">
        <v>9.6296296296296297E-2</v>
      </c>
      <c r="CG150">
        <v>8.1481481481481488E-2</v>
      </c>
      <c r="CH150">
        <v>7.407407407407407E-2</v>
      </c>
      <c r="CI150">
        <v>8.1481481481481488E-2</v>
      </c>
      <c r="CJ150">
        <v>9.6296296296296297E-2</v>
      </c>
      <c r="CK150">
        <v>0.1</v>
      </c>
      <c r="CL150">
        <v>0.1</v>
      </c>
      <c r="CM150">
        <v>0.1037037037037037</v>
      </c>
      <c r="CN150">
        <v>0.13333333333333333</v>
      </c>
      <c r="CO150">
        <v>0.13333333333333333</v>
      </c>
    </row>
    <row r="151" spans="41:93" x14ac:dyDescent="0.35">
      <c r="AO151" t="s">
        <v>181</v>
      </c>
      <c r="AP151">
        <v>12821.63358778626</v>
      </c>
      <c r="AQ151">
        <v>11753.164122137405</v>
      </c>
      <c r="AR151">
        <v>10684.694656488549</v>
      </c>
      <c r="AS151">
        <v>11753.164122137405</v>
      </c>
      <c r="AT151">
        <v>13890.103053435114</v>
      </c>
      <c r="AU151">
        <v>16027.041984732823</v>
      </c>
      <c r="AV151">
        <v>16027.041984732823</v>
      </c>
      <c r="AW151">
        <v>16027.041984732823</v>
      </c>
      <c r="AX151">
        <v>14958.572519083969</v>
      </c>
      <c r="AY151">
        <v>16027.041984732823</v>
      </c>
      <c r="BC151" t="s">
        <v>181</v>
      </c>
      <c r="BD151">
        <v>11452.878900052883</v>
      </c>
      <c r="BE151">
        <v>10411.708090957165</v>
      </c>
      <c r="BF151">
        <v>10411.708090957165</v>
      </c>
      <c r="BG151">
        <v>10411.708090957165</v>
      </c>
      <c r="BH151">
        <v>12494.0497091486</v>
      </c>
      <c r="BI151">
        <v>14576.391327340032</v>
      </c>
      <c r="BJ151">
        <v>14576.391327340032</v>
      </c>
      <c r="BK151">
        <v>12494.0497091486</v>
      </c>
      <c r="BL151">
        <v>15617.562136435748</v>
      </c>
      <c r="BM151">
        <v>14576.391327340032</v>
      </c>
      <c r="BQ151" t="s">
        <v>181</v>
      </c>
      <c r="BR151">
        <v>10545.22033898305</v>
      </c>
      <c r="BS151">
        <v>9490.6983050847466</v>
      </c>
      <c r="BT151">
        <v>9490.6983050847466</v>
      </c>
      <c r="BU151">
        <v>10545.22033898305</v>
      </c>
      <c r="BV151">
        <v>12654.264406779663</v>
      </c>
      <c r="BW151">
        <v>13708.786440677966</v>
      </c>
      <c r="BX151">
        <v>13708.786440677966</v>
      </c>
      <c r="BY151">
        <v>12654.264406779663</v>
      </c>
      <c r="BZ151">
        <v>15817.830508474577</v>
      </c>
      <c r="CA151">
        <v>15817.830508474577</v>
      </c>
      <c r="CE151" t="s">
        <v>181</v>
      </c>
      <c r="CF151">
        <v>11083.411708482676</v>
      </c>
      <c r="CG151">
        <v>9378.2714456391877</v>
      </c>
      <c r="CH151">
        <v>8525.7013142174437</v>
      </c>
      <c r="CI151">
        <v>9378.2714456391877</v>
      </c>
      <c r="CJ151">
        <v>11083.411708482676</v>
      </c>
      <c r="CK151">
        <v>11509.69677419355</v>
      </c>
      <c r="CL151">
        <v>11509.69677419355</v>
      </c>
      <c r="CM151">
        <v>11935.98183990442</v>
      </c>
      <c r="CN151">
        <v>15346.262365591398</v>
      </c>
      <c r="CO151">
        <v>15346.262365591398</v>
      </c>
    </row>
    <row r="152" spans="41:93" x14ac:dyDescent="0.35">
      <c r="AO152" t="s">
        <v>184</v>
      </c>
      <c r="AP152">
        <v>8.2166478306888086E-2</v>
      </c>
      <c r="AQ152">
        <v>8.2523685847464778E-2</v>
      </c>
      <c r="AR152">
        <v>0.12229905314903303</v>
      </c>
      <c r="AS152">
        <v>8.4691462796454134E-2</v>
      </c>
      <c r="AT152">
        <v>0.12801340224556593</v>
      </c>
      <c r="AU152">
        <v>8.5219744573938938E-2</v>
      </c>
      <c r="AV152">
        <v>8.5068344279088881E-2</v>
      </c>
      <c r="AW152">
        <v>0.12399927036392665</v>
      </c>
      <c r="AX152">
        <v>8.2566596091459707E-2</v>
      </c>
      <c r="AY152">
        <v>0.12345196234617994</v>
      </c>
      <c r="BC152" t="s">
        <v>184</v>
      </c>
      <c r="BD152">
        <v>7.9190903195724638E-2</v>
      </c>
      <c r="BE152">
        <v>8.217771849843275E-2</v>
      </c>
      <c r="BF152">
        <v>0.12751874483148512</v>
      </c>
      <c r="BG152">
        <v>9.074772320778049E-2</v>
      </c>
      <c r="BH152">
        <v>0.14444980255961518</v>
      </c>
      <c r="BI152">
        <v>9.5380480897574782E-2</v>
      </c>
      <c r="BJ152">
        <v>8.7864936012259698E-2</v>
      </c>
      <c r="BK152">
        <v>0.11308913745376209</v>
      </c>
      <c r="BL152">
        <v>7.3322643961905354E-2</v>
      </c>
      <c r="BM152">
        <v>0.10625790938145992</v>
      </c>
      <c r="BQ152" t="s">
        <v>184</v>
      </c>
      <c r="BR152">
        <v>8.5188467139917484E-2</v>
      </c>
      <c r="BS152">
        <v>8.4732675508864444E-2</v>
      </c>
      <c r="BT152">
        <v>0.12338042887891193</v>
      </c>
      <c r="BU152">
        <v>8.1496892614553659E-2</v>
      </c>
      <c r="BV152">
        <v>0.12624631155309213</v>
      </c>
      <c r="BW152">
        <v>8.2030742776770249E-2</v>
      </c>
      <c r="BX152">
        <v>8.0060034837584101E-2</v>
      </c>
      <c r="BY152">
        <v>0.12261942567692226</v>
      </c>
      <c r="BZ152">
        <v>8.4377495670589817E-2</v>
      </c>
      <c r="CA152">
        <v>0.12986752534279392</v>
      </c>
      <c r="CE152" t="s">
        <v>184</v>
      </c>
      <c r="CF152">
        <v>8.5188467126581374E-2</v>
      </c>
      <c r="CG152">
        <v>8.4732675526470222E-2</v>
      </c>
      <c r="CH152">
        <v>0.12338042888359996</v>
      </c>
      <c r="CI152">
        <v>8.1496892606788524E-2</v>
      </c>
      <c r="CJ152">
        <v>0.12624631154600685</v>
      </c>
      <c r="CK152">
        <v>8.2030742762823447E-2</v>
      </c>
      <c r="CL152">
        <v>8.0060034858495138E-2</v>
      </c>
      <c r="CM152">
        <v>0.1226194256697819</v>
      </c>
      <c r="CN152">
        <v>8.437749567074633E-2</v>
      </c>
      <c r="CO152">
        <v>0.12986752534870591</v>
      </c>
    </row>
    <row r="153" spans="41:93" x14ac:dyDescent="0.35">
      <c r="AO153" t="s">
        <v>185</v>
      </c>
      <c r="AP153">
        <f t="shared" ref="AP153:AY153" si="102">$AP$142*AP152</f>
        <v>12264.990216869184</v>
      </c>
      <c r="AQ153">
        <f t="shared" si="102"/>
        <v>12318.310586451067</v>
      </c>
      <c r="AR153">
        <f t="shared" si="102"/>
        <v>18255.57966355616</v>
      </c>
      <c r="AS153">
        <f t="shared" si="102"/>
        <v>12641.894651626708</v>
      </c>
      <c r="AT153">
        <f t="shared" si="102"/>
        <v>19108.560553195624</v>
      </c>
      <c r="AU153">
        <f t="shared" si="102"/>
        <v>12720.751272551865</v>
      </c>
      <c r="AV153">
        <f t="shared" si="102"/>
        <v>12698.151750539597</v>
      </c>
      <c r="AW153">
        <f t="shared" si="102"/>
        <v>18509.371087223331</v>
      </c>
      <c r="AX153">
        <f t="shared" si="102"/>
        <v>12324.71579857219</v>
      </c>
      <c r="AY153">
        <f t="shared" si="102"/>
        <v>18427.674419414281</v>
      </c>
      <c r="BC153" t="s">
        <v>185</v>
      </c>
      <c r="BD153">
        <f t="shared" ref="BD153:BM153" si="103">$BD$143*BD152</f>
        <v>14070.174752578236</v>
      </c>
      <c r="BE153">
        <f t="shared" si="103"/>
        <v>14600.85456006712</v>
      </c>
      <c r="BF153">
        <f t="shared" si="103"/>
        <v>22656.781923220879</v>
      </c>
      <c r="BG153">
        <f t="shared" si="103"/>
        <v>16123.52268260283</v>
      </c>
      <c r="BH153">
        <f t="shared" si="103"/>
        <v>25664.992858661266</v>
      </c>
      <c r="BI153">
        <f t="shared" si="103"/>
        <v>16946.643870154527</v>
      </c>
      <c r="BJ153">
        <f t="shared" si="103"/>
        <v>15611.325978453327</v>
      </c>
      <c r="BK153">
        <f t="shared" si="103"/>
        <v>20093.014000106494</v>
      </c>
      <c r="BL153">
        <f t="shared" si="103"/>
        <v>13027.536904273889</v>
      </c>
      <c r="BM153">
        <f t="shared" si="103"/>
        <v>18879.281502139493</v>
      </c>
      <c r="BQ153" t="s">
        <v>185</v>
      </c>
      <c r="BR153">
        <f t="shared" ref="BR153:CA153" si="104">$BR$143*BR152</f>
        <v>14791.918142238563</v>
      </c>
      <c r="BS153">
        <f t="shared" si="104"/>
        <v>14712.775592515483</v>
      </c>
      <c r="BT153">
        <f t="shared" si="104"/>
        <v>21423.477444823995</v>
      </c>
      <c r="BU153">
        <f t="shared" si="104"/>
        <v>14150.922124485734</v>
      </c>
      <c r="BV153">
        <f t="shared" si="104"/>
        <v>21921.102338720804</v>
      </c>
      <c r="BW153">
        <f t="shared" si="104"/>
        <v>14243.618567617628</v>
      </c>
      <c r="BX153">
        <f t="shared" si="104"/>
        <v>13901.429636446665</v>
      </c>
      <c r="BY153">
        <f t="shared" si="104"/>
        <v>21291.338700604967</v>
      </c>
      <c r="BZ153">
        <f t="shared" si="104"/>
        <v>14651.103029668417</v>
      </c>
      <c r="CA153">
        <f t="shared" si="104"/>
        <v>22549.8810895444</v>
      </c>
      <c r="CE153" t="s">
        <v>185</v>
      </c>
      <c r="CF153">
        <f t="shared" ref="CF153:CO153" si="105">$CF$143*CF152</f>
        <v>18968.929715151222</v>
      </c>
      <c r="CG153">
        <f t="shared" si="105"/>
        <v>18867.438526039699</v>
      </c>
      <c r="CH153">
        <f t="shared" si="105"/>
        <v>27473.139999580384</v>
      </c>
      <c r="CI153">
        <f t="shared" si="105"/>
        <v>18146.926221413702</v>
      </c>
      <c r="CJ153">
        <f t="shared" si="105"/>
        <v>28111.286554257666</v>
      </c>
      <c r="CK153">
        <f t="shared" si="105"/>
        <v>18265.798721762862</v>
      </c>
      <c r="CL153">
        <f t="shared" si="105"/>
        <v>17826.980874849964</v>
      </c>
      <c r="CM153">
        <f t="shared" si="105"/>
        <v>27303.687291217062</v>
      </c>
      <c r="CN153">
        <f t="shared" si="105"/>
        <v>18788.350570278584</v>
      </c>
      <c r="CO153">
        <f t="shared" si="105"/>
        <v>28917.622815771407</v>
      </c>
    </row>
    <row r="154" spans="41:93" x14ac:dyDescent="0.35">
      <c r="AO154" t="s">
        <v>93</v>
      </c>
      <c r="AP154">
        <v>0</v>
      </c>
      <c r="AQ154">
        <v>0</v>
      </c>
      <c r="AR154">
        <v>1.7230823788855036E-3</v>
      </c>
      <c r="AS154">
        <v>0.10089276576786367</v>
      </c>
      <c r="AT154">
        <v>0.33743480712644586</v>
      </c>
      <c r="AU154">
        <v>0.24237366810917196</v>
      </c>
      <c r="AV154">
        <v>0.19392406912872528</v>
      </c>
      <c r="AW154">
        <v>0.12305554315196404</v>
      </c>
      <c r="AX154">
        <v>5.9606433694354575E-4</v>
      </c>
      <c r="AY154">
        <v>0</v>
      </c>
      <c r="BC154" t="s">
        <v>93</v>
      </c>
      <c r="BD154">
        <v>0</v>
      </c>
      <c r="BE154">
        <v>0</v>
      </c>
      <c r="BF154">
        <v>9.8108571715745007E-5</v>
      </c>
      <c r="BG154">
        <v>8.1635084987111167E-2</v>
      </c>
      <c r="BH154">
        <v>0.37865235364643246</v>
      </c>
      <c r="BI154">
        <v>0.23705639972657411</v>
      </c>
      <c r="BJ154">
        <v>0.21203815758890587</v>
      </c>
      <c r="BK154">
        <v>9.0519495436186245E-2</v>
      </c>
      <c r="BL154">
        <v>4.0004307432349375E-7</v>
      </c>
      <c r="BM154">
        <v>0</v>
      </c>
      <c r="BQ154" t="s">
        <v>93</v>
      </c>
      <c r="BR154">
        <v>0.15642529419337062</v>
      </c>
      <c r="BS154">
        <v>7.9415938618512844E-2</v>
      </c>
      <c r="BT154">
        <v>6.5652085702534637E-3</v>
      </c>
      <c r="BU154">
        <v>1.9305791025537094E-3</v>
      </c>
      <c r="BV154">
        <v>0.10668936596295311</v>
      </c>
      <c r="BW154">
        <v>0.10332528005093164</v>
      </c>
      <c r="BX154">
        <v>0.12959136448365702</v>
      </c>
      <c r="BY154">
        <v>0.12095648929346567</v>
      </c>
      <c r="BZ154">
        <v>7.9680550779485271E-2</v>
      </c>
      <c r="CA154">
        <v>0.21541992894481671</v>
      </c>
      <c r="CE154" t="s">
        <v>93</v>
      </c>
      <c r="CF154">
        <v>0.15642529419363316</v>
      </c>
      <c r="CG154">
        <v>7.9415938619295204E-2</v>
      </c>
      <c r="CH154">
        <v>6.5652085700831347E-3</v>
      </c>
      <c r="CI154">
        <v>1.9305791028142759E-3</v>
      </c>
      <c r="CJ154">
        <v>0.1066893659640136</v>
      </c>
      <c r="CK154">
        <v>0.10332528005441935</v>
      </c>
      <c r="CL154">
        <v>0.12959136449146366</v>
      </c>
      <c r="CM154">
        <v>0.12095648928983499</v>
      </c>
      <c r="CN154">
        <v>7.9680550770898084E-2</v>
      </c>
      <c r="CO154">
        <v>0.21541992894354434</v>
      </c>
    </row>
    <row r="155" spans="41:93" x14ac:dyDescent="0.35">
      <c r="AO155" t="s">
        <v>189</v>
      </c>
      <c r="AP155">
        <f t="shared" ref="AP155:AY155" si="106">$AP$143*AP154</f>
        <v>0</v>
      </c>
      <c r="AQ155">
        <f t="shared" si="106"/>
        <v>0</v>
      </c>
      <c r="AR155">
        <f t="shared" si="106"/>
        <v>8.9828017756455552</v>
      </c>
      <c r="AS155">
        <f t="shared" si="106"/>
        <v>525.97584804712301</v>
      </c>
      <c r="AT155">
        <f t="shared" si="106"/>
        <v>1759.1207604250394</v>
      </c>
      <c r="AU155">
        <f t="shared" si="106"/>
        <v>1263.5464461478703</v>
      </c>
      <c r="AV155">
        <f t="shared" si="106"/>
        <v>1010.9681892496894</v>
      </c>
      <c r="AW155">
        <f t="shared" si="106"/>
        <v>641.5152084855381</v>
      </c>
      <c r="AX155">
        <f t="shared" si="106"/>
        <v>3.1074125357597082</v>
      </c>
      <c r="AY155">
        <f t="shared" si="106"/>
        <v>0</v>
      </c>
      <c r="BC155" t="s">
        <v>189</v>
      </c>
      <c r="BD155">
        <f t="shared" ref="BD155:BM155" si="107">$BD$144*BD154</f>
        <v>0</v>
      </c>
      <c r="BE155">
        <f t="shared" si="107"/>
        <v>0</v>
      </c>
      <c r="BF155">
        <f t="shared" si="107"/>
        <v>0.38222783061190657</v>
      </c>
      <c r="BG155">
        <f t="shared" si="107"/>
        <v>318.04765771994681</v>
      </c>
      <c r="BH155">
        <f t="shared" si="107"/>
        <v>1475.2173552144477</v>
      </c>
      <c r="BI155">
        <f t="shared" si="107"/>
        <v>923.56408635409639</v>
      </c>
      <c r="BJ155">
        <f t="shared" si="107"/>
        <v>826.09382202580991</v>
      </c>
      <c r="BK155">
        <f t="shared" si="107"/>
        <v>352.66103423565789</v>
      </c>
      <c r="BL155">
        <f t="shared" si="107"/>
        <v>1.5585549129490308E-3</v>
      </c>
      <c r="BM155">
        <f t="shared" si="107"/>
        <v>0</v>
      </c>
      <c r="BQ155" t="s">
        <v>189</v>
      </c>
      <c r="BR155">
        <f t="shared" ref="BR155:CA155" si="108">$BR$144*BR154</f>
        <v>462.40881216502294</v>
      </c>
      <c r="BS155">
        <f t="shared" si="108"/>
        <v>234.76145615018584</v>
      </c>
      <c r="BT155">
        <f t="shared" si="108"/>
        <v>19.407413054526266</v>
      </c>
      <c r="BU155">
        <f t="shared" si="108"/>
        <v>5.706984885059021</v>
      </c>
      <c r="BV155">
        <f t="shared" si="108"/>
        <v>315.38443472308575</v>
      </c>
      <c r="BW155">
        <f t="shared" si="108"/>
        <v>305.43986035855903</v>
      </c>
      <c r="BX155">
        <f t="shared" si="108"/>
        <v>383.08503255013858</v>
      </c>
      <c r="BY155">
        <f t="shared" si="108"/>
        <v>357.55947800041389</v>
      </c>
      <c r="BZ155">
        <f t="shared" si="108"/>
        <v>235.54367615923644</v>
      </c>
      <c r="CA155">
        <f t="shared" si="108"/>
        <v>636.8028519537728</v>
      </c>
      <c r="CE155" t="s">
        <v>189</v>
      </c>
      <c r="CF155">
        <f t="shared" ref="CF155:CO155" si="109">$CF$144*CF154</f>
        <v>357.09876273513629</v>
      </c>
      <c r="CG155">
        <f t="shared" si="109"/>
        <v>181.29634064996461</v>
      </c>
      <c r="CH155">
        <f t="shared" si="109"/>
        <v>14.987524041813336</v>
      </c>
      <c r="CI155">
        <f t="shared" si="109"/>
        <v>4.4072629847439835</v>
      </c>
      <c r="CJ155">
        <f t="shared" si="109"/>
        <v>243.55805612604127</v>
      </c>
      <c r="CK155">
        <f t="shared" si="109"/>
        <v>235.87828207003881</v>
      </c>
      <c r="CL155">
        <f t="shared" si="109"/>
        <v>295.84036366762558</v>
      </c>
      <c r="CM155">
        <f t="shared" si="109"/>
        <v>276.12805775975266</v>
      </c>
      <c r="CN155">
        <f t="shared" si="109"/>
        <v>181.90041604857055</v>
      </c>
      <c r="CO155">
        <f t="shared" si="109"/>
        <v>491.77590165824807</v>
      </c>
    </row>
    <row r="156" spans="41:93" x14ac:dyDescent="0.35">
      <c r="AO156" t="s">
        <v>172</v>
      </c>
      <c r="AP156">
        <v>9.1466666666666665</v>
      </c>
      <c r="AQ156">
        <v>9.1466666666666665</v>
      </c>
      <c r="AR156">
        <v>9.1466666666666665</v>
      </c>
      <c r="AS156">
        <v>9.1466666666666665</v>
      </c>
      <c r="AT156">
        <v>9.1466666666666665</v>
      </c>
      <c r="AU156">
        <v>9.1466666666666665</v>
      </c>
      <c r="AV156">
        <v>9.1466666666666665</v>
      </c>
      <c r="AW156">
        <v>9.1466666666666665</v>
      </c>
      <c r="AX156">
        <v>9.1466666666666665</v>
      </c>
      <c r="AY156">
        <v>9.1466666666666665</v>
      </c>
      <c r="BC156" t="s">
        <v>172</v>
      </c>
      <c r="BD156">
        <v>39.677419354838705</v>
      </c>
      <c r="BE156">
        <v>39.677419354838705</v>
      </c>
      <c r="BF156">
        <v>39.677419354838705</v>
      </c>
      <c r="BG156">
        <v>39.677419354838705</v>
      </c>
      <c r="BH156">
        <v>39.677419354838705</v>
      </c>
      <c r="BI156">
        <v>39.677419354838705</v>
      </c>
      <c r="BJ156">
        <v>39.677419354838705</v>
      </c>
      <c r="BK156">
        <v>39.677419354838705</v>
      </c>
      <c r="BL156">
        <v>39.677419354838705</v>
      </c>
      <c r="BM156">
        <v>39.677419354838705</v>
      </c>
      <c r="BQ156" t="s">
        <v>172</v>
      </c>
      <c r="BR156">
        <v>92.013333333333335</v>
      </c>
      <c r="BS156">
        <v>92.013333333333335</v>
      </c>
      <c r="BT156">
        <v>92.013333333333335</v>
      </c>
      <c r="BU156">
        <v>92.013333333333335</v>
      </c>
      <c r="BV156">
        <v>92.013333333333335</v>
      </c>
      <c r="BW156">
        <v>92.013333333333335</v>
      </c>
      <c r="BX156">
        <v>92.013333333333335</v>
      </c>
      <c r="BY156">
        <v>92.013333333333335</v>
      </c>
      <c r="BZ156">
        <v>92.013333333333335</v>
      </c>
      <c r="CA156">
        <v>92.013333333333335</v>
      </c>
      <c r="CE156" t="s">
        <v>172</v>
      </c>
      <c r="CF156">
        <v>120.48387096774192</v>
      </c>
      <c r="CG156">
        <v>120.48387096774192</v>
      </c>
      <c r="CH156">
        <v>120.48387096774192</v>
      </c>
      <c r="CI156">
        <v>120.48387096774192</v>
      </c>
      <c r="CJ156">
        <v>120.48387096774192</v>
      </c>
      <c r="CK156">
        <v>120.48387096774192</v>
      </c>
      <c r="CL156">
        <v>120.48387096774192</v>
      </c>
      <c r="CM156">
        <v>120.48387096774192</v>
      </c>
      <c r="CN156">
        <v>120.48387096774192</v>
      </c>
      <c r="CO156">
        <v>120.48387096774192</v>
      </c>
    </row>
    <row r="157" spans="41:93" x14ac:dyDescent="0.35">
      <c r="AO157" t="s">
        <v>170</v>
      </c>
      <c r="AP157">
        <v>0</v>
      </c>
      <c r="AQ157">
        <v>0</v>
      </c>
      <c r="AR157">
        <v>0</v>
      </c>
      <c r="AS157">
        <v>0</v>
      </c>
      <c r="AT157">
        <v>0</v>
      </c>
      <c r="AU157">
        <v>0</v>
      </c>
      <c r="AV157">
        <v>0</v>
      </c>
      <c r="AW157">
        <v>0</v>
      </c>
      <c r="AX157">
        <v>0</v>
      </c>
      <c r="AY157">
        <v>0</v>
      </c>
      <c r="BC157" t="s">
        <v>170</v>
      </c>
      <c r="BD157">
        <v>0</v>
      </c>
      <c r="BE157">
        <v>0</v>
      </c>
      <c r="BF157">
        <v>0</v>
      </c>
      <c r="BG157">
        <v>0</v>
      </c>
      <c r="BH157">
        <v>0</v>
      </c>
      <c r="BI157">
        <v>0</v>
      </c>
      <c r="BJ157">
        <v>0</v>
      </c>
      <c r="BK157">
        <v>0</v>
      </c>
      <c r="BL157">
        <v>0</v>
      </c>
      <c r="BM157">
        <v>0</v>
      </c>
      <c r="BQ157" t="s">
        <v>170</v>
      </c>
      <c r="BR157">
        <v>0</v>
      </c>
      <c r="BS157">
        <v>0</v>
      </c>
      <c r="BT157">
        <v>0</v>
      </c>
      <c r="BU157">
        <v>0</v>
      </c>
      <c r="BV157">
        <v>0</v>
      </c>
      <c r="BW157">
        <v>0</v>
      </c>
      <c r="BX157">
        <v>0</v>
      </c>
      <c r="BY157">
        <v>0</v>
      </c>
      <c r="BZ157">
        <v>0</v>
      </c>
      <c r="CA157">
        <v>0</v>
      </c>
      <c r="CE157" t="s">
        <v>170</v>
      </c>
      <c r="CF157">
        <v>0</v>
      </c>
      <c r="CG157">
        <v>0</v>
      </c>
      <c r="CH157">
        <v>0</v>
      </c>
      <c r="CI157">
        <v>0</v>
      </c>
      <c r="CJ157">
        <v>0</v>
      </c>
      <c r="CK157">
        <v>0</v>
      </c>
      <c r="CL157">
        <v>0</v>
      </c>
      <c r="CM157">
        <v>0</v>
      </c>
      <c r="CN157">
        <v>0</v>
      </c>
      <c r="CO157">
        <v>0</v>
      </c>
    </row>
    <row r="159" spans="41:93" x14ac:dyDescent="0.35">
      <c r="AO159" t="s">
        <v>194</v>
      </c>
      <c r="AP159">
        <f t="shared" ref="AP159:AY159" si="110">SUM(AP153,AP155:AP157)</f>
        <v>12274.136883535852</v>
      </c>
      <c r="AQ159">
        <f t="shared" si="110"/>
        <v>12327.457253117735</v>
      </c>
      <c r="AR159">
        <f t="shared" si="110"/>
        <v>18273.709131998472</v>
      </c>
      <c r="AS159">
        <f t="shared" si="110"/>
        <v>13177.017166340498</v>
      </c>
      <c r="AT159">
        <f t="shared" si="110"/>
        <v>20876.827980287329</v>
      </c>
      <c r="AU159">
        <f t="shared" si="110"/>
        <v>13993.444385366402</v>
      </c>
      <c r="AV159">
        <f t="shared" si="110"/>
        <v>13718.266606455954</v>
      </c>
      <c r="AW159">
        <f t="shared" si="110"/>
        <v>19160.032962375539</v>
      </c>
      <c r="AX159">
        <f t="shared" si="110"/>
        <v>12336.969877774616</v>
      </c>
      <c r="AY159">
        <f t="shared" si="110"/>
        <v>18436.821086080949</v>
      </c>
      <c r="BC159" t="s">
        <v>194</v>
      </c>
      <c r="BD159">
        <f t="shared" ref="BD159:BM159" si="111">SUM(BD153,BD155:BD157)</f>
        <v>14109.852171933075</v>
      </c>
      <c r="BE159">
        <f t="shared" si="111"/>
        <v>14640.531979421959</v>
      </c>
      <c r="BF159">
        <f t="shared" si="111"/>
        <v>22696.841570406326</v>
      </c>
      <c r="BG159">
        <f t="shared" si="111"/>
        <v>16481.247759677615</v>
      </c>
      <c r="BH159">
        <f t="shared" si="111"/>
        <v>27179.887633230552</v>
      </c>
      <c r="BI159">
        <f t="shared" si="111"/>
        <v>17909.885375863461</v>
      </c>
      <c r="BJ159">
        <f t="shared" si="111"/>
        <v>16477.097219833973</v>
      </c>
      <c r="BK159">
        <f t="shared" si="111"/>
        <v>20485.352453696989</v>
      </c>
      <c r="BL159">
        <f t="shared" si="111"/>
        <v>13067.215882183642</v>
      </c>
      <c r="BM159">
        <f t="shared" si="111"/>
        <v>18918.95892149433</v>
      </c>
      <c r="BQ159" t="s">
        <v>194</v>
      </c>
      <c r="BR159">
        <f t="shared" ref="BR159:CA159" si="112">SUM(BR153,BR155:BR157)</f>
        <v>15346.340287736921</v>
      </c>
      <c r="BS159">
        <f t="shared" si="112"/>
        <v>15039.550381999003</v>
      </c>
      <c r="BT159">
        <f t="shared" si="112"/>
        <v>21534.898191211854</v>
      </c>
      <c r="BU159">
        <f t="shared" si="112"/>
        <v>14248.642442704127</v>
      </c>
      <c r="BV159">
        <f t="shared" si="112"/>
        <v>22328.500106777221</v>
      </c>
      <c r="BW159">
        <f t="shared" si="112"/>
        <v>14641.071761309522</v>
      </c>
      <c r="BX159">
        <f t="shared" si="112"/>
        <v>14376.528002330137</v>
      </c>
      <c r="BY159">
        <f t="shared" si="112"/>
        <v>21740.911511938713</v>
      </c>
      <c r="BZ159">
        <f t="shared" si="112"/>
        <v>14978.660039160988</v>
      </c>
      <c r="CA159">
        <f t="shared" si="112"/>
        <v>23278.697274831506</v>
      </c>
      <c r="CE159" t="s">
        <v>194</v>
      </c>
      <c r="CF159">
        <f t="shared" ref="CF159:CO159" si="113">SUM(CF153,CF155:CF157)</f>
        <v>19446.512348854099</v>
      </c>
      <c r="CG159">
        <f t="shared" si="113"/>
        <v>19169.218737657407</v>
      </c>
      <c r="CH159">
        <f t="shared" si="113"/>
        <v>27608.611394589941</v>
      </c>
      <c r="CI159">
        <f t="shared" si="113"/>
        <v>18271.817355366187</v>
      </c>
      <c r="CJ159">
        <f t="shared" si="113"/>
        <v>28475.328481351447</v>
      </c>
      <c r="CK159">
        <f t="shared" si="113"/>
        <v>18622.160874800644</v>
      </c>
      <c r="CL159">
        <f t="shared" si="113"/>
        <v>18243.305109485333</v>
      </c>
      <c r="CM159">
        <f t="shared" si="113"/>
        <v>27700.299219944558</v>
      </c>
      <c r="CN159">
        <f t="shared" si="113"/>
        <v>19090.734857294898</v>
      </c>
      <c r="CO159">
        <f t="shared" si="113"/>
        <v>29529.882588397399</v>
      </c>
    </row>
    <row r="160" spans="41:93" x14ac:dyDescent="0.35">
      <c r="AO160" t="s">
        <v>335</v>
      </c>
      <c r="AP160">
        <f>AP159-AP151</f>
        <v>-547.49670425040858</v>
      </c>
      <c r="AQ160">
        <f t="shared" ref="AQ160" si="114">AQ159-AQ151</f>
        <v>574.29313098032981</v>
      </c>
      <c r="AR160">
        <f t="shared" ref="AR160" si="115">AR159-AR151</f>
        <v>7589.0144755099227</v>
      </c>
      <c r="AS160">
        <f t="shared" ref="AS160" si="116">AS159-AS151</f>
        <v>1423.8530442030933</v>
      </c>
      <c r="AT160">
        <f t="shared" ref="AT160" si="117">AT159-AT151</f>
        <v>6986.7249268522155</v>
      </c>
      <c r="AU160">
        <f t="shared" ref="AU160" si="118">AU159-AU151</f>
        <v>-2033.5975993664215</v>
      </c>
      <c r="AV160">
        <f t="shared" ref="AV160" si="119">AV159-AV151</f>
        <v>-2308.7753782768687</v>
      </c>
      <c r="AW160">
        <f t="shared" ref="AW160" si="120">AW159-AW151</f>
        <v>3132.9909776427157</v>
      </c>
      <c r="AX160">
        <f t="shared" ref="AX160" si="121">AX159-AX151</f>
        <v>-2621.6026413093532</v>
      </c>
      <c r="AY160">
        <f t="shared" ref="AY160" si="122">AY159-AY151</f>
        <v>2409.7791013481256</v>
      </c>
      <c r="BC160" t="s">
        <v>335</v>
      </c>
      <c r="BD160">
        <f>BD159-BD151</f>
        <v>2656.9732718801915</v>
      </c>
      <c r="BE160">
        <f t="shared" ref="BE160" si="123">BE159-BE151</f>
        <v>4228.8238884647944</v>
      </c>
      <c r="BF160">
        <f t="shared" ref="BF160" si="124">BF159-BF151</f>
        <v>12285.133479449161</v>
      </c>
      <c r="BG160">
        <f t="shared" ref="BG160" si="125">BG159-BG151</f>
        <v>6069.5396687204502</v>
      </c>
      <c r="BH160">
        <f t="shared" ref="BH160" si="126">BH159-BH151</f>
        <v>14685.837924081952</v>
      </c>
      <c r="BI160">
        <f t="shared" ref="BI160" si="127">BI159-BI151</f>
        <v>3333.4940485234292</v>
      </c>
      <c r="BJ160">
        <f t="shared" ref="BJ160" si="128">BJ159-BJ151</f>
        <v>1900.7058924939411</v>
      </c>
      <c r="BK160">
        <f t="shared" ref="BK160" si="129">BK159-BK151</f>
        <v>7991.3027445483895</v>
      </c>
      <c r="BL160">
        <f t="shared" ref="BL160" si="130">BL159-BL151</f>
        <v>-2550.3462542521065</v>
      </c>
      <c r="BM160">
        <f t="shared" ref="BM160" si="131">BM159-BM151</f>
        <v>4342.5675941542977</v>
      </c>
      <c r="BQ160" t="s">
        <v>335</v>
      </c>
      <c r="BR160">
        <f>BR159-BR151</f>
        <v>4801.1199487538706</v>
      </c>
      <c r="BS160">
        <f t="shared" ref="BS160" si="132">BS159-BS151</f>
        <v>5548.852076914256</v>
      </c>
      <c r="BT160">
        <f t="shared" ref="BT160" si="133">BT159-BT151</f>
        <v>12044.199886127108</v>
      </c>
      <c r="BU160">
        <f t="shared" ref="BU160" si="134">BU159-BU151</f>
        <v>3703.4221037210773</v>
      </c>
      <c r="BV160">
        <f t="shared" ref="BV160" si="135">BV159-BV151</f>
        <v>9674.2356999975582</v>
      </c>
      <c r="BW160">
        <f t="shared" ref="BW160" si="136">BW159-BW151</f>
        <v>932.28532063155581</v>
      </c>
      <c r="BX160">
        <f t="shared" ref="BX160" si="137">BX159-BX151</f>
        <v>667.74156165217028</v>
      </c>
      <c r="BY160">
        <f t="shared" ref="BY160" si="138">BY159-BY151</f>
        <v>9086.6471051590506</v>
      </c>
      <c r="BZ160">
        <f t="shared" ref="BZ160" si="139">BZ159-BZ151</f>
        <v>-839.17046931358891</v>
      </c>
      <c r="CA160">
        <f t="shared" ref="CA160" si="140">CA159-CA151</f>
        <v>7460.8667663569286</v>
      </c>
      <c r="CE160" t="s">
        <v>335</v>
      </c>
      <c r="CF160">
        <f>CF159-CF151</f>
        <v>8363.1006403714237</v>
      </c>
      <c r="CG160">
        <f t="shared" ref="CG160" si="141">CG159-CG151</f>
        <v>9790.9472920182197</v>
      </c>
      <c r="CH160">
        <f t="shared" ref="CH160" si="142">CH159-CH151</f>
        <v>19082.910080372498</v>
      </c>
      <c r="CI160">
        <f t="shared" ref="CI160" si="143">CI159-CI151</f>
        <v>8893.5459097269995</v>
      </c>
      <c r="CJ160">
        <f t="shared" ref="CJ160" si="144">CJ159-CJ151</f>
        <v>17391.916772868772</v>
      </c>
      <c r="CK160">
        <f t="shared" ref="CK160" si="145">CK159-CK151</f>
        <v>7112.4641006070942</v>
      </c>
      <c r="CL160">
        <f t="shared" ref="CL160" si="146">CL159-CL151</f>
        <v>6733.6083352917831</v>
      </c>
      <c r="CM160">
        <f t="shared" ref="CM160" si="147">CM159-CM151</f>
        <v>15764.317380040138</v>
      </c>
      <c r="CN160">
        <f t="shared" ref="CN160" si="148">CN159-CN151</f>
        <v>3744.4724917035001</v>
      </c>
      <c r="CO160">
        <f t="shared" ref="CO160" si="149">CO159-CO151</f>
        <v>14183.620222806001</v>
      </c>
    </row>
    <row r="164" spans="41:84" x14ac:dyDescent="0.35">
      <c r="AO164" t="s">
        <v>338</v>
      </c>
      <c r="AP164">
        <f>SUMIF(AP160:AY160,"&lt;0")</f>
        <v>-7511.4723232030519</v>
      </c>
      <c r="BC164" t="s">
        <v>338</v>
      </c>
      <c r="BD164">
        <f>SUMIF(BD160:BM160,"&lt;0")</f>
        <v>-2550.3462542521065</v>
      </c>
      <c r="BQ164" t="s">
        <v>338</v>
      </c>
      <c r="BR164">
        <f>SUMIF(BR160:CA160,"&lt;0")</f>
        <v>-839.17046931358891</v>
      </c>
      <c r="CE164" t="s">
        <v>338</v>
      </c>
      <c r="CF164">
        <f>SUMIF(CF160:CO160,"&lt;0")</f>
        <v>0</v>
      </c>
    </row>
  </sheetData>
  <mergeCells count="2">
    <mergeCell ref="BB7:BE7"/>
    <mergeCell ref="BB13:BB14"/>
  </mergeCells>
  <conditionalFormatting sqref="D2:D13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{41E416C0-4772-411C-B552-3623635FBE59}</x14:id>
        </ext>
      </extLst>
    </cfRule>
  </conditionalFormatting>
  <conditionalFormatting sqref="AX8:AX19">
    <cfRule type="colorScale" priority="3">
      <colorScale>
        <cfvo type="min"/>
        <cfvo type="max"/>
        <color rgb="FFF8696B"/>
        <color rgb="FFFCFCFF"/>
      </colorScale>
    </cfRule>
  </conditionalFormatting>
  <conditionalFormatting sqref="BC8">
    <cfRule type="colorScale" priority="1">
      <colorScale>
        <cfvo type="min"/>
        <cfvo type="max"/>
        <color rgb="FFF8696B"/>
        <color rgb="FFFCFCFF"/>
      </colorScale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1E416C0-4772-411C-B552-3623635FBE5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D2:D13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31FCF1-1ABC-4559-BEFD-6608AD54FA40}">
  <sheetPr>
    <tabColor theme="9"/>
  </sheetPr>
  <dimension ref="A1:EJ156"/>
  <sheetViews>
    <sheetView topLeftCell="AA44" zoomScale="70" zoomScaleNormal="70" workbookViewId="0">
      <selection activeCell="AT60" sqref="AT60"/>
    </sheetView>
  </sheetViews>
  <sheetFormatPr defaultRowHeight="14.5" x14ac:dyDescent="0.35"/>
  <cols>
    <col min="2" max="2" width="6.26953125" bestFit="1" customWidth="1"/>
    <col min="3" max="3" width="22.7265625" bestFit="1" customWidth="1"/>
    <col min="4" max="18" width="9.26953125" bestFit="1" customWidth="1"/>
    <col min="19" max="36" width="10.453125" bestFit="1" customWidth="1"/>
    <col min="37" max="37" width="9.26953125" bestFit="1" customWidth="1"/>
    <col min="57" max="57" width="6.81640625" bestFit="1" customWidth="1"/>
    <col min="58" max="58" width="24.1796875" bestFit="1" customWidth="1"/>
    <col min="59" max="59" width="10.453125" bestFit="1" customWidth="1"/>
    <col min="61" max="61" width="10.453125" bestFit="1" customWidth="1"/>
    <col min="63" max="67" width="10.453125" bestFit="1" customWidth="1"/>
    <col min="69" max="69" width="10" bestFit="1" customWidth="1"/>
    <col min="70" max="70" width="10.453125" bestFit="1" customWidth="1"/>
    <col min="92" max="92" width="16.54296875" customWidth="1"/>
    <col min="93" max="93" width="10.54296875" customWidth="1"/>
    <col min="134" max="134" width="14.453125" bestFit="1" customWidth="1"/>
  </cols>
  <sheetData>
    <row r="1" spans="1:106" x14ac:dyDescent="0.35">
      <c r="A1" s="160" t="s">
        <v>342</v>
      </c>
      <c r="B1" s="161"/>
      <c r="C1" s="164" t="s">
        <v>1</v>
      </c>
      <c r="D1" s="158"/>
      <c r="E1" s="158"/>
      <c r="F1" s="158"/>
      <c r="G1" s="158"/>
      <c r="H1" s="158"/>
      <c r="I1" s="158"/>
      <c r="J1" s="158"/>
      <c r="K1" s="158"/>
      <c r="L1" s="158"/>
      <c r="M1" s="158"/>
      <c r="N1" s="158"/>
      <c r="O1" s="158"/>
      <c r="P1" s="158"/>
      <c r="Q1" s="158"/>
      <c r="R1" s="158"/>
      <c r="S1" s="158"/>
      <c r="T1" s="158"/>
      <c r="U1" s="158"/>
      <c r="V1" s="158"/>
      <c r="W1" s="158"/>
      <c r="X1" s="158"/>
      <c r="Y1" s="158"/>
      <c r="Z1" s="158"/>
      <c r="AA1" s="158"/>
      <c r="AB1" s="158"/>
      <c r="AC1" s="158"/>
      <c r="AD1" s="158"/>
      <c r="AE1" s="158"/>
      <c r="AF1" s="158"/>
      <c r="AG1" s="158"/>
      <c r="AH1" s="158"/>
      <c r="AI1" s="158"/>
      <c r="AJ1" s="158"/>
      <c r="AK1" s="3"/>
      <c r="BD1" s="160" t="s">
        <v>342</v>
      </c>
      <c r="BE1" s="161"/>
      <c r="BF1" s="164" t="s">
        <v>1</v>
      </c>
      <c r="BG1" s="158"/>
      <c r="BH1" s="158"/>
      <c r="BI1" s="158"/>
      <c r="BJ1" s="158"/>
      <c r="BK1" s="158"/>
      <c r="BL1" s="158"/>
      <c r="BM1" s="158"/>
      <c r="BN1" s="158"/>
      <c r="BO1" s="158"/>
      <c r="BP1" s="158"/>
      <c r="BQ1" s="158"/>
      <c r="BR1" s="3"/>
      <c r="CO1" t="s">
        <v>152</v>
      </c>
      <c r="CP1">
        <v>0</v>
      </c>
      <c r="CQ1">
        <v>2.4</v>
      </c>
      <c r="CR1">
        <v>4.8</v>
      </c>
      <c r="CS1">
        <v>7.1999999999999993</v>
      </c>
      <c r="CT1">
        <v>9.6</v>
      </c>
      <c r="CU1">
        <v>12</v>
      </c>
      <c r="CV1">
        <v>14.399999999999999</v>
      </c>
      <c r="CW1">
        <v>16.8</v>
      </c>
      <c r="CX1">
        <v>19.2</v>
      </c>
      <c r="CY1">
        <v>21.599999999999998</v>
      </c>
      <c r="DB1" t="s">
        <v>102</v>
      </c>
    </row>
    <row r="2" spans="1:106" ht="14.5" customHeight="1" x14ac:dyDescent="0.35">
      <c r="A2" s="162"/>
      <c r="B2" s="163"/>
      <c r="C2" s="8"/>
      <c r="D2" s="178" t="s">
        <v>7</v>
      </c>
      <c r="E2" s="178" t="s">
        <v>8</v>
      </c>
      <c r="F2" s="178" t="s">
        <v>9</v>
      </c>
      <c r="G2" s="178" t="s">
        <v>10</v>
      </c>
      <c r="H2" s="178" t="s">
        <v>11</v>
      </c>
      <c r="I2" s="178" t="s">
        <v>12</v>
      </c>
      <c r="J2" s="178" t="s">
        <v>13</v>
      </c>
      <c r="K2" s="178" t="s">
        <v>14</v>
      </c>
      <c r="L2" s="178" t="s">
        <v>15</v>
      </c>
      <c r="M2" s="178" t="s">
        <v>16</v>
      </c>
      <c r="N2" s="178" t="s">
        <v>17</v>
      </c>
      <c r="O2" s="178" t="s">
        <v>18</v>
      </c>
      <c r="P2" s="178" t="s">
        <v>19</v>
      </c>
      <c r="Q2" s="178" t="s">
        <v>20</v>
      </c>
      <c r="R2" s="178" t="s">
        <v>21</v>
      </c>
      <c r="S2" s="178" t="s">
        <v>22</v>
      </c>
      <c r="T2" s="178" t="s">
        <v>23</v>
      </c>
      <c r="U2" s="178" t="s">
        <v>24</v>
      </c>
      <c r="V2" s="178" t="s">
        <v>25</v>
      </c>
      <c r="W2" s="178" t="s">
        <v>26</v>
      </c>
      <c r="X2" s="178" t="s">
        <v>27</v>
      </c>
      <c r="Y2" s="178" t="s">
        <v>28</v>
      </c>
      <c r="Z2" s="178" t="s">
        <v>29</v>
      </c>
      <c r="AA2" s="178" t="s">
        <v>30</v>
      </c>
      <c r="AB2" s="178" t="s">
        <v>31</v>
      </c>
      <c r="AC2" s="178" t="s">
        <v>32</v>
      </c>
      <c r="AD2" s="178" t="s">
        <v>33</v>
      </c>
      <c r="AE2" s="178" t="s">
        <v>34</v>
      </c>
      <c r="AF2" s="178" t="s">
        <v>35</v>
      </c>
      <c r="AG2" s="178" t="s">
        <v>36</v>
      </c>
      <c r="AH2" s="178" t="s">
        <v>37</v>
      </c>
      <c r="AI2" s="178" t="s">
        <v>38</v>
      </c>
      <c r="AJ2" s="178" t="s">
        <v>39</v>
      </c>
      <c r="AK2" s="178" t="s">
        <v>40</v>
      </c>
      <c r="BD2" s="162"/>
      <c r="BE2" s="163"/>
      <c r="BF2" s="8"/>
      <c r="BG2" s="165" t="s">
        <v>39</v>
      </c>
      <c r="BH2" s="166"/>
      <c r="BI2" s="166"/>
      <c r="BJ2" s="166"/>
      <c r="BK2" s="166"/>
      <c r="BL2" s="166"/>
      <c r="BM2" s="166"/>
      <c r="BN2" s="166"/>
      <c r="BO2" s="166"/>
      <c r="BP2" s="166"/>
      <c r="BQ2" s="166"/>
      <c r="BR2" s="167"/>
      <c r="CO2" t="s">
        <v>153</v>
      </c>
      <c r="CP2" t="s">
        <v>154</v>
      </c>
      <c r="CQ2" t="s">
        <v>155</v>
      </c>
      <c r="CR2" t="s">
        <v>156</v>
      </c>
      <c r="CS2" t="s">
        <v>157</v>
      </c>
      <c r="CT2" t="s">
        <v>158</v>
      </c>
      <c r="CU2" t="s">
        <v>159</v>
      </c>
      <c r="CV2" t="s">
        <v>160</v>
      </c>
      <c r="CW2" t="s">
        <v>161</v>
      </c>
      <c r="CX2" t="s">
        <v>162</v>
      </c>
      <c r="CY2" t="s">
        <v>163</v>
      </c>
    </row>
    <row r="3" spans="1:106" ht="15" thickBot="1" x14ac:dyDescent="0.4">
      <c r="A3" s="162"/>
      <c r="B3" s="163"/>
      <c r="C3" s="8"/>
      <c r="D3" s="179"/>
      <c r="E3" s="179"/>
      <c r="F3" s="179"/>
      <c r="G3" s="179"/>
      <c r="H3" s="179"/>
      <c r="I3" s="179"/>
      <c r="J3" s="179"/>
      <c r="K3" s="179"/>
      <c r="L3" s="179"/>
      <c r="M3" s="179"/>
      <c r="N3" s="179"/>
      <c r="O3" s="179"/>
      <c r="P3" s="179"/>
      <c r="Q3" s="179"/>
      <c r="R3" s="179"/>
      <c r="S3" s="179"/>
      <c r="T3" s="179"/>
      <c r="U3" s="179"/>
      <c r="V3" s="179"/>
      <c r="W3" s="179"/>
      <c r="X3" s="179"/>
      <c r="Y3" s="179"/>
      <c r="Z3" s="179"/>
      <c r="AA3" s="179"/>
      <c r="AB3" s="179"/>
      <c r="AC3" s="179"/>
      <c r="AD3" s="179"/>
      <c r="AE3" s="179"/>
      <c r="AF3" s="179"/>
      <c r="AG3" s="179"/>
      <c r="AH3" s="179"/>
      <c r="AI3" s="179"/>
      <c r="AJ3" s="179"/>
      <c r="AK3" s="179"/>
      <c r="BD3" s="162"/>
      <c r="BE3" s="163"/>
      <c r="BF3" s="8"/>
      <c r="BG3" s="5" t="s">
        <v>41</v>
      </c>
      <c r="BH3" s="5" t="s">
        <v>42</v>
      </c>
      <c r="BI3" s="5" t="s">
        <v>43</v>
      </c>
      <c r="BJ3" s="5" t="s">
        <v>44</v>
      </c>
      <c r="BK3" s="5" t="s">
        <v>45</v>
      </c>
      <c r="BL3" s="5" t="s">
        <v>46</v>
      </c>
      <c r="BM3" s="5" t="s">
        <v>47</v>
      </c>
      <c r="BN3" s="5" t="s">
        <v>48</v>
      </c>
      <c r="BO3" s="5" t="s">
        <v>49</v>
      </c>
      <c r="BP3" s="5" t="s">
        <v>50</v>
      </c>
      <c r="BQ3" s="5" t="s">
        <v>51</v>
      </c>
      <c r="BR3" s="5" t="s">
        <v>52</v>
      </c>
      <c r="CO3" s="25" t="s">
        <v>164</v>
      </c>
      <c r="CP3" s="25">
        <v>1.2</v>
      </c>
      <c r="CQ3" s="25">
        <v>1.1000000000000001</v>
      </c>
      <c r="CR3" s="25">
        <v>1.1000000000000001</v>
      </c>
      <c r="CS3" s="25">
        <v>1.2</v>
      </c>
      <c r="CT3" s="25">
        <v>1.6</v>
      </c>
      <c r="CU3" s="25">
        <v>1.6</v>
      </c>
      <c r="CV3" s="25">
        <v>1.5</v>
      </c>
      <c r="CW3" s="25">
        <v>1.5</v>
      </c>
      <c r="CX3" s="25">
        <v>2</v>
      </c>
      <c r="CY3" s="25">
        <v>2</v>
      </c>
      <c r="CZ3" s="25"/>
      <c r="DB3">
        <f>SUM(CP3:CZ3)</f>
        <v>14.799999999999999</v>
      </c>
    </row>
    <row r="4" spans="1:106" ht="15" thickBot="1" x14ac:dyDescent="0.4">
      <c r="A4" s="4"/>
      <c r="B4" s="168" t="s">
        <v>53</v>
      </c>
      <c r="C4" s="5" t="s">
        <v>55</v>
      </c>
      <c r="D4" s="1">
        <v>0</v>
      </c>
      <c r="E4" s="1">
        <v>0</v>
      </c>
      <c r="F4" s="1">
        <v>0</v>
      </c>
      <c r="G4" s="1">
        <v>0</v>
      </c>
      <c r="H4" s="1">
        <v>0</v>
      </c>
      <c r="I4" s="1">
        <v>0</v>
      </c>
      <c r="J4" s="1">
        <v>0</v>
      </c>
      <c r="K4" s="1">
        <v>0</v>
      </c>
      <c r="L4" s="2" t="s">
        <v>57</v>
      </c>
      <c r="M4" s="1">
        <v>0</v>
      </c>
      <c r="N4" s="1">
        <v>0</v>
      </c>
      <c r="O4" s="1">
        <v>0</v>
      </c>
      <c r="P4" s="1">
        <v>0</v>
      </c>
      <c r="Q4" s="1">
        <v>0</v>
      </c>
      <c r="R4" s="1">
        <v>0</v>
      </c>
      <c r="S4" s="1">
        <v>0</v>
      </c>
      <c r="T4" s="1">
        <v>0</v>
      </c>
      <c r="U4" s="1">
        <v>0</v>
      </c>
      <c r="V4" s="1">
        <v>0</v>
      </c>
      <c r="W4" s="2" t="s">
        <v>57</v>
      </c>
      <c r="X4" s="2" t="s">
        <v>57</v>
      </c>
      <c r="Y4" s="2" t="s">
        <v>57</v>
      </c>
      <c r="Z4" s="2" t="s">
        <v>57</v>
      </c>
      <c r="AA4" s="2" t="s">
        <v>57</v>
      </c>
      <c r="AB4" s="1">
        <v>0</v>
      </c>
      <c r="AC4" s="1">
        <v>0</v>
      </c>
      <c r="AD4" s="1">
        <v>0</v>
      </c>
      <c r="AE4" s="1">
        <v>0</v>
      </c>
      <c r="AF4" s="1">
        <v>0</v>
      </c>
      <c r="AG4" s="1">
        <v>0</v>
      </c>
      <c r="AH4" s="1">
        <v>0</v>
      </c>
      <c r="AI4" s="1">
        <v>0</v>
      </c>
      <c r="AJ4" s="1">
        <v>0</v>
      </c>
      <c r="AK4" s="1">
        <v>0</v>
      </c>
      <c r="AM4" s="5" t="s">
        <v>55</v>
      </c>
      <c r="BD4" s="4"/>
      <c r="BE4" s="168" t="s">
        <v>53</v>
      </c>
      <c r="BF4" s="5" t="s">
        <v>55</v>
      </c>
      <c r="BG4" s="1">
        <v>0</v>
      </c>
      <c r="BH4" s="1">
        <v>0</v>
      </c>
      <c r="BI4" s="1">
        <v>0</v>
      </c>
      <c r="BJ4" s="1">
        <v>0</v>
      </c>
      <c r="BK4" s="1">
        <v>0</v>
      </c>
      <c r="BL4" s="1">
        <v>0</v>
      </c>
      <c r="BM4" s="1">
        <v>0</v>
      </c>
      <c r="BN4" s="1">
        <v>0</v>
      </c>
      <c r="BO4" s="1">
        <v>0</v>
      </c>
      <c r="BP4" s="1">
        <v>0</v>
      </c>
      <c r="BQ4" s="1">
        <v>0</v>
      </c>
      <c r="BR4" s="1">
        <v>0</v>
      </c>
      <c r="CP4">
        <f>CP3/$DB$3</f>
        <v>8.1081081081081086E-2</v>
      </c>
      <c r="CQ4">
        <f t="shared" ref="CQ4:CY4" si="0">CQ3/$DB$3</f>
        <v>7.4324324324324342E-2</v>
      </c>
      <c r="CR4">
        <f t="shared" si="0"/>
        <v>7.4324324324324342E-2</v>
      </c>
      <c r="CS4">
        <f t="shared" si="0"/>
        <v>8.1081081081081086E-2</v>
      </c>
      <c r="CT4">
        <f t="shared" si="0"/>
        <v>0.10810810810810813</v>
      </c>
      <c r="CU4">
        <f t="shared" si="0"/>
        <v>0.10810810810810813</v>
      </c>
      <c r="CV4">
        <f t="shared" si="0"/>
        <v>0.10135135135135136</v>
      </c>
      <c r="CW4">
        <f t="shared" si="0"/>
        <v>0.10135135135135136</v>
      </c>
      <c r="CX4">
        <f t="shared" si="0"/>
        <v>0.13513513513513514</v>
      </c>
      <c r="CY4">
        <f t="shared" si="0"/>
        <v>0.13513513513513514</v>
      </c>
    </row>
    <row r="5" spans="1:106" ht="15" thickBot="1" x14ac:dyDescent="0.4">
      <c r="A5" s="4"/>
      <c r="B5" s="169"/>
      <c r="C5" s="5" t="s">
        <v>344</v>
      </c>
      <c r="D5" s="2" t="s">
        <v>57</v>
      </c>
      <c r="E5" s="2" t="s">
        <v>57</v>
      </c>
      <c r="F5" s="2" t="s">
        <v>57</v>
      </c>
      <c r="G5" s="2" t="s">
        <v>57</v>
      </c>
      <c r="H5" s="2" t="s">
        <v>57</v>
      </c>
      <c r="I5" s="2" t="s">
        <v>57</v>
      </c>
      <c r="J5" s="2" t="s">
        <v>57</v>
      </c>
      <c r="K5" s="2" t="s">
        <v>57</v>
      </c>
      <c r="L5" s="2" t="s">
        <v>57</v>
      </c>
      <c r="M5" s="2" t="s">
        <v>57</v>
      </c>
      <c r="N5" s="2" t="s">
        <v>57</v>
      </c>
      <c r="O5" s="2" t="s">
        <v>57</v>
      </c>
      <c r="P5" s="2" t="s">
        <v>57</v>
      </c>
      <c r="Q5" s="2" t="s">
        <v>57</v>
      </c>
      <c r="R5" s="2" t="s">
        <v>57</v>
      </c>
      <c r="S5" s="2" t="s">
        <v>57</v>
      </c>
      <c r="T5" s="2" t="s">
        <v>57</v>
      </c>
      <c r="U5" s="2" t="s">
        <v>57</v>
      </c>
      <c r="V5" s="2" t="s">
        <v>57</v>
      </c>
      <c r="W5" s="2" t="s">
        <v>57</v>
      </c>
      <c r="X5" s="2" t="s">
        <v>57</v>
      </c>
      <c r="Y5" s="2" t="s">
        <v>57</v>
      </c>
      <c r="Z5" s="2" t="s">
        <v>57</v>
      </c>
      <c r="AA5" s="2" t="s">
        <v>57</v>
      </c>
      <c r="AB5" s="1">
        <v>0</v>
      </c>
      <c r="AC5" s="1">
        <v>0</v>
      </c>
      <c r="AD5" s="1">
        <v>0</v>
      </c>
      <c r="AE5" s="1">
        <v>0</v>
      </c>
      <c r="AF5" s="1">
        <v>0</v>
      </c>
      <c r="AG5" s="1">
        <v>0</v>
      </c>
      <c r="AH5" s="1">
        <v>0</v>
      </c>
      <c r="AI5" s="1">
        <v>0</v>
      </c>
      <c r="AJ5" s="1">
        <v>0</v>
      </c>
      <c r="AK5" s="1">
        <v>0</v>
      </c>
      <c r="AM5" s="5" t="s">
        <v>344</v>
      </c>
      <c r="BD5" s="4"/>
      <c r="BE5" s="169"/>
      <c r="BF5" s="5" t="s">
        <v>344</v>
      </c>
      <c r="BG5" s="1">
        <v>0</v>
      </c>
      <c r="BH5" s="1">
        <v>0</v>
      </c>
      <c r="BI5" s="1">
        <v>0</v>
      </c>
      <c r="BJ5" s="1">
        <v>0</v>
      </c>
      <c r="BK5" s="1">
        <v>0</v>
      </c>
      <c r="BL5" s="1">
        <v>0</v>
      </c>
      <c r="BM5" s="1">
        <v>0</v>
      </c>
      <c r="BN5" s="1">
        <v>0</v>
      </c>
      <c r="BO5" s="1">
        <v>0</v>
      </c>
      <c r="BP5" s="1">
        <v>0</v>
      </c>
      <c r="BQ5" s="1">
        <v>0</v>
      </c>
      <c r="BR5" s="1">
        <v>0</v>
      </c>
      <c r="CO5" s="25" t="s">
        <v>165</v>
      </c>
      <c r="CP5" s="25">
        <v>1.2</v>
      </c>
      <c r="CQ5" s="25">
        <v>1.1000000000000001</v>
      </c>
      <c r="CR5" s="25">
        <v>1.1000000000000001</v>
      </c>
      <c r="CS5" s="25">
        <v>1.2</v>
      </c>
      <c r="CT5" s="25">
        <v>1.5</v>
      </c>
      <c r="CU5" s="25">
        <v>1.5</v>
      </c>
      <c r="CV5" s="25">
        <v>1.4</v>
      </c>
      <c r="CW5" s="25">
        <v>1.4</v>
      </c>
      <c r="CX5" s="25">
        <v>2</v>
      </c>
      <c r="CY5" s="25">
        <v>2</v>
      </c>
      <c r="CZ5" s="25"/>
      <c r="DB5">
        <f>SUM(CP5:CZ5)</f>
        <v>14.4</v>
      </c>
    </row>
    <row r="6" spans="1:106" ht="15" thickBot="1" x14ac:dyDescent="0.4">
      <c r="A6" s="4"/>
      <c r="B6" s="169"/>
      <c r="C6" s="5" t="s">
        <v>59</v>
      </c>
      <c r="D6" s="1">
        <v>0</v>
      </c>
      <c r="E6" s="1">
        <v>0</v>
      </c>
      <c r="F6" s="1">
        <v>0</v>
      </c>
      <c r="G6" s="1">
        <v>0</v>
      </c>
      <c r="H6" s="1">
        <v>0</v>
      </c>
      <c r="I6" s="1">
        <v>0</v>
      </c>
      <c r="J6" s="1">
        <v>0</v>
      </c>
      <c r="K6" s="1">
        <v>0</v>
      </c>
      <c r="L6" s="2" t="s">
        <v>57</v>
      </c>
      <c r="M6" s="1">
        <v>0</v>
      </c>
      <c r="N6" s="1">
        <v>0</v>
      </c>
      <c r="O6" s="1">
        <v>0</v>
      </c>
      <c r="P6" s="1">
        <v>273320</v>
      </c>
      <c r="Q6" s="1">
        <v>1473380</v>
      </c>
      <c r="R6" s="1">
        <v>1769470</v>
      </c>
      <c r="S6" s="1">
        <v>1606260</v>
      </c>
      <c r="T6" s="1">
        <v>1733440</v>
      </c>
      <c r="U6" s="1">
        <v>1684340</v>
      </c>
      <c r="V6" s="1">
        <v>1946820</v>
      </c>
      <c r="W6" s="1">
        <v>1979260</v>
      </c>
      <c r="X6" s="1">
        <v>1844298</v>
      </c>
      <c r="Y6" s="1">
        <v>1587200</v>
      </c>
      <c r="Z6" s="1">
        <v>964760</v>
      </c>
      <c r="AA6" s="1">
        <v>1300000</v>
      </c>
      <c r="AB6" s="1">
        <v>1412120</v>
      </c>
      <c r="AC6" s="1">
        <v>1272627</v>
      </c>
      <c r="AD6" s="1">
        <v>969139</v>
      </c>
      <c r="AE6" s="1">
        <v>475604</v>
      </c>
      <c r="AF6" s="1">
        <v>527580</v>
      </c>
      <c r="AG6" s="1">
        <v>659671</v>
      </c>
      <c r="AH6" s="1">
        <v>600259</v>
      </c>
      <c r="AI6" s="1">
        <v>884003</v>
      </c>
      <c r="AJ6" s="1">
        <v>684548</v>
      </c>
      <c r="AK6" s="1">
        <v>480116</v>
      </c>
      <c r="AM6" s="5" t="s">
        <v>59</v>
      </c>
      <c r="BD6" s="4"/>
      <c r="BE6" s="169"/>
      <c r="BF6" s="5" t="s">
        <v>59</v>
      </c>
      <c r="BG6" s="1">
        <v>45570</v>
      </c>
      <c r="BH6" s="1">
        <v>58730</v>
      </c>
      <c r="BI6" s="1">
        <v>91719</v>
      </c>
      <c r="BJ6" s="1">
        <v>39500</v>
      </c>
      <c r="BK6" s="1">
        <v>36043</v>
      </c>
      <c r="BL6" s="1">
        <v>48895</v>
      </c>
      <c r="BM6" s="1">
        <v>40011</v>
      </c>
      <c r="BN6" s="1">
        <v>35476</v>
      </c>
      <c r="BO6" s="1">
        <v>62862</v>
      </c>
      <c r="BP6" s="1">
        <v>79895</v>
      </c>
      <c r="BQ6" s="1">
        <v>90411</v>
      </c>
      <c r="BR6" s="1">
        <v>55436</v>
      </c>
      <c r="CP6">
        <f>CP5/$DB$5</f>
        <v>8.3333333333333329E-2</v>
      </c>
      <c r="CQ6">
        <f t="shared" ref="CQ6:CY6" si="1">CQ5/$DB$5</f>
        <v>7.6388888888888895E-2</v>
      </c>
      <c r="CR6">
        <f t="shared" si="1"/>
        <v>7.6388888888888895E-2</v>
      </c>
      <c r="CS6">
        <f t="shared" si="1"/>
        <v>8.3333333333333329E-2</v>
      </c>
      <c r="CT6">
        <f t="shared" si="1"/>
        <v>0.10416666666666666</v>
      </c>
      <c r="CU6">
        <f t="shared" si="1"/>
        <v>0.10416666666666666</v>
      </c>
      <c r="CV6">
        <f t="shared" si="1"/>
        <v>9.722222222222221E-2</v>
      </c>
      <c r="CW6">
        <f t="shared" si="1"/>
        <v>9.722222222222221E-2</v>
      </c>
      <c r="CX6">
        <f t="shared" si="1"/>
        <v>0.1388888888888889</v>
      </c>
      <c r="CY6">
        <f t="shared" si="1"/>
        <v>0.1388888888888889</v>
      </c>
    </row>
    <row r="7" spans="1:106" ht="15" thickBot="1" x14ac:dyDescent="0.4">
      <c r="A7" s="4"/>
      <c r="B7" s="169"/>
      <c r="C7" s="5" t="s">
        <v>61</v>
      </c>
      <c r="D7" s="1">
        <v>0</v>
      </c>
      <c r="E7" s="1">
        <v>0</v>
      </c>
      <c r="F7" s="1">
        <v>0</v>
      </c>
      <c r="G7" s="1">
        <v>0</v>
      </c>
      <c r="H7" s="1">
        <v>0</v>
      </c>
      <c r="I7" s="1">
        <v>0</v>
      </c>
      <c r="J7" s="1">
        <v>0</v>
      </c>
      <c r="K7" s="1">
        <v>0</v>
      </c>
      <c r="L7" s="2" t="s">
        <v>57</v>
      </c>
      <c r="M7" s="1">
        <v>0</v>
      </c>
      <c r="N7" s="1">
        <v>0</v>
      </c>
      <c r="O7" s="1">
        <v>0</v>
      </c>
      <c r="P7" s="1">
        <v>0</v>
      </c>
      <c r="Q7" s="1">
        <v>0</v>
      </c>
      <c r="R7" s="1">
        <v>0</v>
      </c>
      <c r="S7" s="1">
        <v>0</v>
      </c>
      <c r="T7" s="1">
        <v>0</v>
      </c>
      <c r="U7" s="1">
        <v>0</v>
      </c>
      <c r="V7" s="1">
        <v>0</v>
      </c>
      <c r="W7" s="2" t="s">
        <v>57</v>
      </c>
      <c r="X7" s="2" t="s">
        <v>57</v>
      </c>
      <c r="Y7" s="2" t="s">
        <v>57</v>
      </c>
      <c r="Z7" s="2" t="s">
        <v>57</v>
      </c>
      <c r="AA7" s="2" t="s">
        <v>57</v>
      </c>
      <c r="AB7" s="1">
        <v>0</v>
      </c>
      <c r="AC7" s="1">
        <v>0</v>
      </c>
      <c r="AD7" s="1">
        <v>0</v>
      </c>
      <c r="AE7" s="1">
        <v>0</v>
      </c>
      <c r="AF7" s="1">
        <v>0</v>
      </c>
      <c r="AG7" s="1">
        <v>0</v>
      </c>
      <c r="AH7" s="1">
        <v>0</v>
      </c>
      <c r="AI7" s="1">
        <v>0</v>
      </c>
      <c r="AJ7" s="1">
        <v>0</v>
      </c>
      <c r="AK7" s="1">
        <v>0</v>
      </c>
      <c r="AM7" s="5" t="s">
        <v>61</v>
      </c>
      <c r="BD7" s="4"/>
      <c r="BE7" s="169"/>
      <c r="BF7" s="5" t="s">
        <v>61</v>
      </c>
      <c r="BG7" s="1">
        <v>0</v>
      </c>
      <c r="BH7" s="1">
        <v>0</v>
      </c>
      <c r="BI7" s="1">
        <v>0</v>
      </c>
      <c r="BJ7" s="1">
        <v>0</v>
      </c>
      <c r="BK7" s="1">
        <v>0</v>
      </c>
      <c r="BL7" s="1">
        <v>0</v>
      </c>
      <c r="BM7" s="1">
        <v>0</v>
      </c>
      <c r="BN7" s="1">
        <v>0</v>
      </c>
      <c r="BO7" s="1">
        <v>0</v>
      </c>
      <c r="BP7" s="1">
        <v>0</v>
      </c>
      <c r="BQ7" s="1">
        <v>0</v>
      </c>
      <c r="BR7" s="1">
        <v>0</v>
      </c>
      <c r="CO7" s="25" t="s">
        <v>167</v>
      </c>
      <c r="CP7" s="25">
        <v>1.2</v>
      </c>
      <c r="CQ7" s="25">
        <v>1.1000000000000001</v>
      </c>
      <c r="CR7" s="25">
        <v>1.1000000000000001</v>
      </c>
      <c r="CS7" s="25">
        <v>1.2</v>
      </c>
      <c r="CT7" s="25">
        <v>1.5</v>
      </c>
      <c r="CU7" s="25">
        <v>1.4</v>
      </c>
      <c r="CV7" s="25">
        <v>1.3</v>
      </c>
      <c r="CW7" s="25">
        <v>1.3</v>
      </c>
      <c r="CX7" s="25">
        <v>2</v>
      </c>
      <c r="CY7" s="25">
        <v>1.8</v>
      </c>
      <c r="CZ7" s="25"/>
      <c r="DB7">
        <f>SUM(CP7:CZ7)</f>
        <v>13.900000000000002</v>
      </c>
    </row>
    <row r="8" spans="1:106" ht="15" thickBot="1" x14ac:dyDescent="0.4">
      <c r="A8" s="4"/>
      <c r="B8" s="169"/>
      <c r="C8" s="5" t="s">
        <v>63</v>
      </c>
      <c r="D8" s="1">
        <v>2512250</v>
      </c>
      <c r="E8" s="1">
        <v>1857374</v>
      </c>
      <c r="F8" s="1">
        <v>3594595</v>
      </c>
      <c r="G8" s="1">
        <v>3110532</v>
      </c>
      <c r="H8" s="1">
        <v>2658450</v>
      </c>
      <c r="I8" s="1">
        <v>2656230</v>
      </c>
      <c r="J8" s="1">
        <v>3710000</v>
      </c>
      <c r="K8" s="1">
        <v>1883650</v>
      </c>
      <c r="L8" s="1">
        <v>3326040</v>
      </c>
      <c r="M8" s="1">
        <v>4279750</v>
      </c>
      <c r="N8" s="1">
        <v>5132860</v>
      </c>
      <c r="O8" s="1">
        <v>4445620</v>
      </c>
      <c r="P8" s="1">
        <v>4901865</v>
      </c>
      <c r="Q8" s="1">
        <v>3487060</v>
      </c>
      <c r="R8" s="1">
        <v>3759032</v>
      </c>
      <c r="S8" s="1">
        <v>4493650</v>
      </c>
      <c r="T8" s="1">
        <v>5235869</v>
      </c>
      <c r="U8" s="1">
        <v>5261084</v>
      </c>
      <c r="V8" s="1">
        <v>6006856</v>
      </c>
      <c r="W8" s="1">
        <v>5496178</v>
      </c>
      <c r="X8" s="1">
        <v>6183590</v>
      </c>
      <c r="Y8" s="1">
        <v>5920396</v>
      </c>
      <c r="Z8" s="1">
        <v>7329780</v>
      </c>
      <c r="AA8" s="1">
        <v>10143408</v>
      </c>
      <c r="AB8" s="1">
        <v>9960351</v>
      </c>
      <c r="AC8" s="1">
        <v>7591022</v>
      </c>
      <c r="AD8" s="1">
        <v>5846227</v>
      </c>
      <c r="AE8" s="1">
        <v>6067990</v>
      </c>
      <c r="AF8" s="1">
        <v>6709000</v>
      </c>
      <c r="AG8" s="1">
        <v>5531640</v>
      </c>
      <c r="AH8" s="1">
        <v>6080319</v>
      </c>
      <c r="AI8" s="1">
        <v>5219233</v>
      </c>
      <c r="AJ8" s="1">
        <v>6323096</v>
      </c>
      <c r="AK8" s="1">
        <v>4009632</v>
      </c>
      <c r="AM8" s="5" t="s">
        <v>63</v>
      </c>
      <c r="BD8" s="4"/>
      <c r="BE8" s="169"/>
      <c r="BF8" s="5" t="s">
        <v>63</v>
      </c>
      <c r="BG8" s="1">
        <v>515820</v>
      </c>
      <c r="BH8" s="1">
        <v>532717</v>
      </c>
      <c r="BI8" s="1">
        <v>297324</v>
      </c>
      <c r="BJ8" s="1">
        <v>369949</v>
      </c>
      <c r="BK8" s="1">
        <v>484087</v>
      </c>
      <c r="BL8" s="1">
        <v>532498</v>
      </c>
      <c r="BM8" s="1">
        <v>845775</v>
      </c>
      <c r="BN8" s="1">
        <v>891919</v>
      </c>
      <c r="BO8" s="1">
        <v>659151</v>
      </c>
      <c r="BP8" s="1">
        <v>520021</v>
      </c>
      <c r="BQ8" s="1">
        <v>341719</v>
      </c>
      <c r="BR8" s="1">
        <v>332116</v>
      </c>
      <c r="CP8">
        <f>CP7/$DB$7</f>
        <v>8.6330935251798538E-2</v>
      </c>
      <c r="CQ8">
        <f t="shared" ref="CQ8:CY8" si="2">CQ7/$DB$7</f>
        <v>7.9136690647482008E-2</v>
      </c>
      <c r="CR8">
        <f t="shared" si="2"/>
        <v>7.9136690647482008E-2</v>
      </c>
      <c r="CS8">
        <f t="shared" si="2"/>
        <v>8.6330935251798538E-2</v>
      </c>
      <c r="CT8">
        <f t="shared" si="2"/>
        <v>0.10791366906474818</v>
      </c>
      <c r="CU8">
        <f t="shared" si="2"/>
        <v>0.10071942446043164</v>
      </c>
      <c r="CV8">
        <f t="shared" si="2"/>
        <v>9.3525179856115095E-2</v>
      </c>
      <c r="CW8">
        <f t="shared" si="2"/>
        <v>9.3525179856115095E-2</v>
      </c>
      <c r="CX8">
        <f t="shared" si="2"/>
        <v>0.1438848920863309</v>
      </c>
      <c r="CY8">
        <f t="shared" si="2"/>
        <v>0.12949640287769781</v>
      </c>
    </row>
    <row r="9" spans="1:106" ht="15" thickBot="1" x14ac:dyDescent="0.4">
      <c r="A9" s="4"/>
      <c r="B9" s="169"/>
      <c r="C9" s="5" t="s">
        <v>67</v>
      </c>
      <c r="D9" s="1">
        <v>0</v>
      </c>
      <c r="E9" s="1">
        <v>0</v>
      </c>
      <c r="F9" s="1">
        <v>0</v>
      </c>
      <c r="G9" s="1">
        <v>0</v>
      </c>
      <c r="H9" s="1">
        <v>0</v>
      </c>
      <c r="I9" s="1">
        <v>0</v>
      </c>
      <c r="J9" s="1">
        <v>0</v>
      </c>
      <c r="K9" s="1">
        <v>0</v>
      </c>
      <c r="L9" s="2" t="s">
        <v>57</v>
      </c>
      <c r="M9" s="1">
        <v>0</v>
      </c>
      <c r="N9" s="1">
        <v>0</v>
      </c>
      <c r="O9" s="1">
        <v>0</v>
      </c>
      <c r="P9" s="1">
        <v>0</v>
      </c>
      <c r="Q9" s="1">
        <v>0</v>
      </c>
      <c r="R9" s="1">
        <v>0</v>
      </c>
      <c r="S9" s="1">
        <v>0</v>
      </c>
      <c r="T9" s="1">
        <v>0</v>
      </c>
      <c r="U9" s="1">
        <v>0</v>
      </c>
      <c r="V9" s="1">
        <v>0</v>
      </c>
      <c r="W9" s="2" t="s">
        <v>57</v>
      </c>
      <c r="X9" s="2" t="s">
        <v>57</v>
      </c>
      <c r="Y9" s="2" t="s">
        <v>57</v>
      </c>
      <c r="Z9" s="2" t="s">
        <v>57</v>
      </c>
      <c r="AA9" s="2" t="s">
        <v>57</v>
      </c>
      <c r="AB9" s="1">
        <v>0</v>
      </c>
      <c r="AC9" s="1">
        <v>0</v>
      </c>
      <c r="AD9" s="1">
        <v>0</v>
      </c>
      <c r="AE9" s="1">
        <v>0</v>
      </c>
      <c r="AF9" s="1">
        <v>0</v>
      </c>
      <c r="AG9" s="1">
        <v>0</v>
      </c>
      <c r="AH9" s="1">
        <v>0</v>
      </c>
      <c r="AI9" s="1">
        <v>0</v>
      </c>
      <c r="AJ9" s="1">
        <v>0</v>
      </c>
      <c r="AK9" s="1">
        <v>0</v>
      </c>
      <c r="AM9" s="5" t="s">
        <v>67</v>
      </c>
      <c r="BD9" s="4"/>
      <c r="BE9" s="169"/>
      <c r="BF9" s="5" t="s">
        <v>67</v>
      </c>
      <c r="BG9" s="1">
        <v>0</v>
      </c>
      <c r="BH9" s="1">
        <v>0</v>
      </c>
      <c r="BI9" s="1">
        <v>0</v>
      </c>
      <c r="BJ9" s="1">
        <v>0</v>
      </c>
      <c r="BK9" s="1">
        <v>0</v>
      </c>
      <c r="BL9" s="1">
        <v>0</v>
      </c>
      <c r="BM9" s="1">
        <v>0</v>
      </c>
      <c r="BN9" s="1">
        <v>0</v>
      </c>
      <c r="BO9" s="1">
        <v>0</v>
      </c>
      <c r="BP9" s="1">
        <v>0</v>
      </c>
      <c r="BQ9" s="1">
        <v>0</v>
      </c>
      <c r="BR9" s="1">
        <v>0</v>
      </c>
      <c r="CO9" s="25" t="s">
        <v>169</v>
      </c>
      <c r="CP9" s="25">
        <v>1.2</v>
      </c>
      <c r="CQ9" s="25">
        <v>1.1000000000000001</v>
      </c>
      <c r="CR9" s="25">
        <v>1.1000000000000001</v>
      </c>
      <c r="CS9" s="25">
        <v>1.2</v>
      </c>
      <c r="CT9" s="25">
        <v>1.45</v>
      </c>
      <c r="CU9" s="25">
        <v>1.4</v>
      </c>
      <c r="CV9" s="25">
        <v>1.3</v>
      </c>
      <c r="CW9" s="25">
        <v>1.3</v>
      </c>
      <c r="CX9" s="25">
        <v>1.8</v>
      </c>
      <c r="CY9" s="25">
        <v>1.7</v>
      </c>
      <c r="CZ9" s="25"/>
      <c r="DB9">
        <f>SUM(CP9:CZ9)</f>
        <v>13.55</v>
      </c>
    </row>
    <row r="10" spans="1:106" ht="15" thickBot="1" x14ac:dyDescent="0.4">
      <c r="A10" s="4"/>
      <c r="B10" s="169"/>
      <c r="C10" s="5" t="s">
        <v>69</v>
      </c>
      <c r="D10" s="1">
        <v>3391175</v>
      </c>
      <c r="E10" s="1">
        <v>3777130</v>
      </c>
      <c r="F10" s="1">
        <v>3497605</v>
      </c>
      <c r="G10" s="1">
        <v>3643518</v>
      </c>
      <c r="H10" s="1">
        <v>3437575</v>
      </c>
      <c r="I10" s="1">
        <v>3443280</v>
      </c>
      <c r="J10" s="1">
        <v>2533480</v>
      </c>
      <c r="K10" s="1">
        <v>4529180</v>
      </c>
      <c r="L10" s="1">
        <v>3555380</v>
      </c>
      <c r="M10" s="1">
        <v>3177910</v>
      </c>
      <c r="N10" s="1">
        <v>2900800</v>
      </c>
      <c r="O10" s="1">
        <v>3816630</v>
      </c>
      <c r="P10" s="1">
        <v>3570813</v>
      </c>
      <c r="Q10" s="1">
        <v>4198240</v>
      </c>
      <c r="R10" s="1">
        <v>4351955</v>
      </c>
      <c r="S10" s="1">
        <v>4165942</v>
      </c>
      <c r="T10" s="1">
        <v>3968751</v>
      </c>
      <c r="U10" s="1">
        <v>4422242</v>
      </c>
      <c r="V10" s="1">
        <v>3643526</v>
      </c>
      <c r="W10" s="1">
        <v>4395943</v>
      </c>
      <c r="X10" s="1">
        <v>4007572</v>
      </c>
      <c r="Y10" s="1">
        <v>4269859</v>
      </c>
      <c r="Z10" s="1">
        <v>2980894</v>
      </c>
      <c r="AA10" s="1">
        <v>0</v>
      </c>
      <c r="AB10" s="1">
        <v>0</v>
      </c>
      <c r="AC10" s="1">
        <v>2768687</v>
      </c>
      <c r="AD10" s="1">
        <v>4914866</v>
      </c>
      <c r="AE10" s="1">
        <v>5504197</v>
      </c>
      <c r="AF10" s="1">
        <v>4736665</v>
      </c>
      <c r="AG10" s="1">
        <v>5424814</v>
      </c>
      <c r="AH10" s="1">
        <v>4711583</v>
      </c>
      <c r="AI10" s="1">
        <v>6059161</v>
      </c>
      <c r="AJ10" s="1">
        <v>5076694</v>
      </c>
      <c r="AK10" s="1">
        <v>3198939</v>
      </c>
      <c r="AM10" s="5" t="s">
        <v>69</v>
      </c>
      <c r="BD10" s="4"/>
      <c r="BE10" s="169"/>
      <c r="BF10" s="5" t="s">
        <v>69</v>
      </c>
      <c r="BG10" s="1">
        <v>448729</v>
      </c>
      <c r="BH10" s="1">
        <v>306945</v>
      </c>
      <c r="BI10" s="1">
        <v>619268</v>
      </c>
      <c r="BJ10" s="1">
        <v>544026</v>
      </c>
      <c r="BK10" s="1">
        <v>486774</v>
      </c>
      <c r="BL10" s="1">
        <v>395481</v>
      </c>
      <c r="BM10" s="1">
        <v>191850</v>
      </c>
      <c r="BN10" s="1">
        <v>197115</v>
      </c>
      <c r="BO10" s="1">
        <v>319000</v>
      </c>
      <c r="BP10" s="1">
        <v>393746</v>
      </c>
      <c r="BQ10" s="1">
        <v>542923</v>
      </c>
      <c r="BR10" s="1">
        <v>630837</v>
      </c>
      <c r="CP10">
        <f>CP9/$DB$9</f>
        <v>8.8560885608856083E-2</v>
      </c>
      <c r="CQ10">
        <f t="shared" ref="CQ10:CY10" si="3">CQ9/$DB$9</f>
        <v>8.1180811808118078E-2</v>
      </c>
      <c r="CR10">
        <f t="shared" si="3"/>
        <v>8.1180811808118078E-2</v>
      </c>
      <c r="CS10">
        <f t="shared" si="3"/>
        <v>8.8560885608856083E-2</v>
      </c>
      <c r="CT10">
        <f t="shared" si="3"/>
        <v>0.1070110701107011</v>
      </c>
      <c r="CU10">
        <f t="shared" si="3"/>
        <v>0.10332103321033209</v>
      </c>
      <c r="CV10">
        <f t="shared" si="3"/>
        <v>9.5940959409594101E-2</v>
      </c>
      <c r="CW10">
        <f t="shared" si="3"/>
        <v>9.5940959409594101E-2</v>
      </c>
      <c r="CX10">
        <f t="shared" si="3"/>
        <v>0.13284132841328414</v>
      </c>
      <c r="CY10">
        <f t="shared" si="3"/>
        <v>0.12546125461254612</v>
      </c>
    </row>
    <row r="11" spans="1:106" ht="15" thickBot="1" x14ac:dyDescent="0.4">
      <c r="A11" s="4"/>
      <c r="B11" s="169"/>
      <c r="C11" s="5" t="s">
        <v>72</v>
      </c>
      <c r="D11" s="2" t="s">
        <v>57</v>
      </c>
      <c r="E11" s="2" t="s">
        <v>57</v>
      </c>
      <c r="F11" s="2" t="s">
        <v>57</v>
      </c>
      <c r="G11" s="2" t="s">
        <v>57</v>
      </c>
      <c r="H11" s="2" t="s">
        <v>57</v>
      </c>
      <c r="I11" s="2" t="s">
        <v>57</v>
      </c>
      <c r="J11" s="2" t="s">
        <v>57</v>
      </c>
      <c r="K11" s="2" t="s">
        <v>57</v>
      </c>
      <c r="L11" s="2" t="s">
        <v>57</v>
      </c>
      <c r="M11" s="2" t="s">
        <v>57</v>
      </c>
      <c r="N11" s="2" t="s">
        <v>57</v>
      </c>
      <c r="O11" s="2" t="s">
        <v>57</v>
      </c>
      <c r="P11" s="2" t="s">
        <v>57</v>
      </c>
      <c r="Q11" s="2" t="s">
        <v>57</v>
      </c>
      <c r="R11" s="2" t="s">
        <v>57</v>
      </c>
      <c r="S11" s="2" t="s">
        <v>57</v>
      </c>
      <c r="T11" s="2" t="s">
        <v>57</v>
      </c>
      <c r="U11" s="2" t="s">
        <v>57</v>
      </c>
      <c r="V11" s="2" t="s">
        <v>57</v>
      </c>
      <c r="W11" s="2" t="s">
        <v>57</v>
      </c>
      <c r="X11" s="2" t="s">
        <v>57</v>
      </c>
      <c r="Y11" s="2" t="s">
        <v>57</v>
      </c>
      <c r="Z11" s="2" t="s">
        <v>57</v>
      </c>
      <c r="AA11" s="2" t="s">
        <v>57</v>
      </c>
      <c r="AB11" s="1">
        <v>0</v>
      </c>
      <c r="AC11" s="1">
        <v>0</v>
      </c>
      <c r="AD11" s="1">
        <v>0</v>
      </c>
      <c r="AE11" s="1">
        <v>0</v>
      </c>
      <c r="AF11" s="1">
        <v>0</v>
      </c>
      <c r="AG11" s="1">
        <v>0</v>
      </c>
      <c r="AH11" s="1">
        <v>0</v>
      </c>
      <c r="AI11" s="1">
        <v>0</v>
      </c>
      <c r="AJ11" s="1">
        <v>0</v>
      </c>
      <c r="AK11" s="1">
        <v>0</v>
      </c>
      <c r="AM11" s="5" t="s">
        <v>72</v>
      </c>
      <c r="BD11" s="4"/>
      <c r="BE11" s="169"/>
      <c r="BF11" s="5" t="s">
        <v>376</v>
      </c>
      <c r="BG11" s="1">
        <v>0</v>
      </c>
      <c r="BH11" s="1">
        <v>0</v>
      </c>
      <c r="BI11" s="1">
        <v>0</v>
      </c>
      <c r="BJ11" s="1">
        <v>0</v>
      </c>
      <c r="BK11" s="1">
        <v>0</v>
      </c>
      <c r="BL11" s="1">
        <v>0</v>
      </c>
      <c r="BM11" s="1">
        <v>0</v>
      </c>
      <c r="BN11" s="1">
        <v>0</v>
      </c>
      <c r="BO11" s="1">
        <v>0</v>
      </c>
      <c r="BP11" s="1">
        <v>0</v>
      </c>
      <c r="BQ11" s="1">
        <v>0</v>
      </c>
      <c r="BR11" s="1">
        <v>0</v>
      </c>
      <c r="CO11" s="25" t="s">
        <v>173</v>
      </c>
      <c r="CP11" s="25">
        <v>1.2</v>
      </c>
      <c r="CQ11" s="25">
        <v>1.1000000000000001</v>
      </c>
      <c r="CR11" s="25">
        <v>1.1000000000000001</v>
      </c>
      <c r="CS11" s="25">
        <v>1.2</v>
      </c>
      <c r="CT11" s="25">
        <v>1.45</v>
      </c>
      <c r="CU11" s="25">
        <v>1.4</v>
      </c>
      <c r="CV11" s="25">
        <v>1.3</v>
      </c>
      <c r="CW11" s="25">
        <v>1.3</v>
      </c>
      <c r="CX11" s="25">
        <v>1.7</v>
      </c>
      <c r="CY11" s="25">
        <v>1.5</v>
      </c>
      <c r="CZ11" s="25"/>
      <c r="DB11">
        <f>SUM(CP11:CZ11)</f>
        <v>13.25</v>
      </c>
    </row>
    <row r="12" spans="1:106" ht="15" thickBot="1" x14ac:dyDescent="0.4">
      <c r="A12" s="4"/>
      <c r="B12" s="169"/>
      <c r="C12" s="5" t="s">
        <v>345</v>
      </c>
      <c r="D12" s="2" t="s">
        <v>57</v>
      </c>
      <c r="E12" s="2" t="s">
        <v>57</v>
      </c>
      <c r="F12" s="2" t="s">
        <v>57</v>
      </c>
      <c r="G12" s="2" t="s">
        <v>57</v>
      </c>
      <c r="H12" s="2" t="s">
        <v>57</v>
      </c>
      <c r="I12" s="2" t="s">
        <v>57</v>
      </c>
      <c r="J12" s="2" t="s">
        <v>57</v>
      </c>
      <c r="K12" s="2" t="s">
        <v>57</v>
      </c>
      <c r="L12" s="2" t="s">
        <v>57</v>
      </c>
      <c r="M12" s="2" t="s">
        <v>57</v>
      </c>
      <c r="N12" s="2" t="s">
        <v>57</v>
      </c>
      <c r="O12" s="2" t="s">
        <v>57</v>
      </c>
      <c r="P12" s="2" t="s">
        <v>57</v>
      </c>
      <c r="Q12" s="2" t="s">
        <v>57</v>
      </c>
      <c r="R12" s="2" t="s">
        <v>57</v>
      </c>
      <c r="S12" s="2" t="s">
        <v>57</v>
      </c>
      <c r="T12" s="2" t="s">
        <v>57</v>
      </c>
      <c r="U12" s="2" t="s">
        <v>57</v>
      </c>
      <c r="V12" s="2" t="s">
        <v>57</v>
      </c>
      <c r="W12" s="2" t="s">
        <v>57</v>
      </c>
      <c r="X12" s="2" t="s">
        <v>57</v>
      </c>
      <c r="Y12" s="2" t="s">
        <v>57</v>
      </c>
      <c r="Z12" s="2" t="s">
        <v>57</v>
      </c>
      <c r="AA12" s="2" t="s">
        <v>57</v>
      </c>
      <c r="AB12" s="1">
        <v>0</v>
      </c>
      <c r="AC12" s="1">
        <v>0</v>
      </c>
      <c r="AD12" s="1">
        <v>0</v>
      </c>
      <c r="AE12" s="1">
        <v>0</v>
      </c>
      <c r="AF12" s="1">
        <v>0</v>
      </c>
      <c r="AG12" s="1">
        <v>0</v>
      </c>
      <c r="AH12" s="1">
        <v>0</v>
      </c>
      <c r="AI12" s="1">
        <v>0</v>
      </c>
      <c r="AJ12" s="1">
        <v>0</v>
      </c>
      <c r="AK12" s="1">
        <v>0</v>
      </c>
      <c r="AM12" s="5" t="s">
        <v>345</v>
      </c>
      <c r="BD12" s="4"/>
      <c r="BE12" s="169"/>
      <c r="BF12" s="5" t="s">
        <v>377</v>
      </c>
      <c r="BG12" s="1">
        <v>0</v>
      </c>
      <c r="BH12" s="1">
        <v>0</v>
      </c>
      <c r="BI12" s="1">
        <v>0</v>
      </c>
      <c r="BJ12" s="1">
        <v>0</v>
      </c>
      <c r="BK12" s="1">
        <v>0</v>
      </c>
      <c r="BL12" s="1">
        <v>0</v>
      </c>
      <c r="BM12" s="1">
        <v>0</v>
      </c>
      <c r="BN12" s="1">
        <v>0</v>
      </c>
      <c r="BO12" s="1">
        <v>0</v>
      </c>
      <c r="BP12" s="1">
        <v>0</v>
      </c>
      <c r="BQ12" s="1">
        <v>0</v>
      </c>
      <c r="BR12" s="1">
        <v>0</v>
      </c>
      <c r="CP12">
        <f>CP11/$DB$11</f>
        <v>9.056603773584905E-2</v>
      </c>
      <c r="CQ12">
        <f t="shared" ref="CQ12:CY12" si="4">CQ11/$DB$11</f>
        <v>8.3018867924528311E-2</v>
      </c>
      <c r="CR12">
        <f t="shared" si="4"/>
        <v>8.3018867924528311E-2</v>
      </c>
      <c r="CS12">
        <f t="shared" si="4"/>
        <v>9.056603773584905E-2</v>
      </c>
      <c r="CT12">
        <f t="shared" si="4"/>
        <v>0.10943396226415095</v>
      </c>
      <c r="CU12">
        <f t="shared" si="4"/>
        <v>0.10566037735849056</v>
      </c>
      <c r="CV12">
        <f t="shared" si="4"/>
        <v>9.8113207547169817E-2</v>
      </c>
      <c r="CW12">
        <f t="shared" si="4"/>
        <v>9.8113207547169817E-2</v>
      </c>
      <c r="CX12">
        <f t="shared" si="4"/>
        <v>0.12830188679245283</v>
      </c>
      <c r="CY12">
        <f t="shared" si="4"/>
        <v>0.11320754716981132</v>
      </c>
    </row>
    <row r="13" spans="1:106" ht="15" thickBot="1" x14ac:dyDescent="0.4">
      <c r="A13" s="4"/>
      <c r="B13" s="169"/>
      <c r="C13" s="5" t="s">
        <v>76</v>
      </c>
      <c r="D13" s="2" t="s">
        <v>57</v>
      </c>
      <c r="E13" s="2" t="s">
        <v>57</v>
      </c>
      <c r="F13" s="2" t="s">
        <v>57</v>
      </c>
      <c r="G13" s="2" t="s">
        <v>57</v>
      </c>
      <c r="H13" s="2" t="s">
        <v>57</v>
      </c>
      <c r="I13" s="2" t="s">
        <v>57</v>
      </c>
      <c r="J13" s="2" t="s">
        <v>57</v>
      </c>
      <c r="K13" s="2" t="s">
        <v>57</v>
      </c>
      <c r="L13" s="2" t="s">
        <v>57</v>
      </c>
      <c r="M13" s="2" t="s">
        <v>57</v>
      </c>
      <c r="N13" s="2" t="s">
        <v>57</v>
      </c>
      <c r="O13" s="2" t="s">
        <v>57</v>
      </c>
      <c r="P13" s="2" t="s">
        <v>57</v>
      </c>
      <c r="Q13" s="2" t="s">
        <v>57</v>
      </c>
      <c r="R13" s="2" t="s">
        <v>57</v>
      </c>
      <c r="S13" s="2" t="s">
        <v>57</v>
      </c>
      <c r="T13" s="2" t="s">
        <v>57</v>
      </c>
      <c r="U13" s="2" t="s">
        <v>57</v>
      </c>
      <c r="V13" s="2" t="s">
        <v>57</v>
      </c>
      <c r="W13" s="2" t="s">
        <v>57</v>
      </c>
      <c r="X13" s="2" t="s">
        <v>57</v>
      </c>
      <c r="Y13" s="2" t="s">
        <v>57</v>
      </c>
      <c r="Z13" s="2" t="s">
        <v>57</v>
      </c>
      <c r="AA13" s="2" t="s">
        <v>57</v>
      </c>
      <c r="AB13" s="2" t="s">
        <v>57</v>
      </c>
      <c r="AC13" s="2" t="s">
        <v>57</v>
      </c>
      <c r="AD13" s="1">
        <v>0</v>
      </c>
      <c r="AE13" s="1">
        <v>0</v>
      </c>
      <c r="AF13" s="1">
        <v>0</v>
      </c>
      <c r="AG13" s="1">
        <v>0</v>
      </c>
      <c r="AH13" s="1">
        <v>0</v>
      </c>
      <c r="AI13" s="1">
        <v>0</v>
      </c>
      <c r="AJ13" s="1">
        <v>0</v>
      </c>
      <c r="AK13" s="1">
        <v>0</v>
      </c>
      <c r="AM13" s="5" t="s">
        <v>76</v>
      </c>
      <c r="BD13" s="4"/>
      <c r="BE13" s="169"/>
      <c r="BF13" s="5" t="s">
        <v>378</v>
      </c>
      <c r="BG13" s="1">
        <v>0</v>
      </c>
      <c r="BH13" s="1">
        <v>0</v>
      </c>
      <c r="BI13" s="1">
        <v>0</v>
      </c>
      <c r="BJ13" s="1">
        <v>0</v>
      </c>
      <c r="BK13" s="1">
        <v>0</v>
      </c>
      <c r="BL13" s="1">
        <v>0</v>
      </c>
      <c r="BM13" s="1">
        <v>0</v>
      </c>
      <c r="BN13" s="1">
        <v>0</v>
      </c>
      <c r="BO13" s="1">
        <v>0</v>
      </c>
      <c r="BP13" s="1">
        <v>0</v>
      </c>
      <c r="BQ13" s="1">
        <v>0</v>
      </c>
      <c r="BR13" s="1">
        <v>0</v>
      </c>
      <c r="CO13" s="25" t="s">
        <v>179</v>
      </c>
      <c r="CP13" s="25">
        <v>1.3</v>
      </c>
      <c r="CQ13" s="25">
        <v>1.1000000000000001</v>
      </c>
      <c r="CR13" s="25">
        <v>1.1000000000000001</v>
      </c>
      <c r="CS13" s="25">
        <v>1.2</v>
      </c>
      <c r="CT13" s="25">
        <v>1.5</v>
      </c>
      <c r="CU13" s="25">
        <v>1.4</v>
      </c>
      <c r="CV13" s="25">
        <v>1.3</v>
      </c>
      <c r="CW13" s="25">
        <v>1.3</v>
      </c>
      <c r="CX13" s="25">
        <v>1.7</v>
      </c>
      <c r="CY13" s="25">
        <v>1.5</v>
      </c>
      <c r="CZ13" s="25"/>
      <c r="DB13">
        <f>SUM(CP13:CZ13)</f>
        <v>13.4</v>
      </c>
    </row>
    <row r="14" spans="1:106" ht="15" thickBot="1" x14ac:dyDescent="0.4">
      <c r="A14" s="4"/>
      <c r="B14" s="169"/>
      <c r="C14" s="5" t="s">
        <v>78</v>
      </c>
      <c r="D14" s="2" t="s">
        <v>57</v>
      </c>
      <c r="E14" s="2" t="s">
        <v>57</v>
      </c>
      <c r="F14" s="2" t="s">
        <v>57</v>
      </c>
      <c r="G14" s="2" t="s">
        <v>57</v>
      </c>
      <c r="H14" s="2" t="s">
        <v>57</v>
      </c>
      <c r="I14" s="2" t="s">
        <v>57</v>
      </c>
      <c r="J14" s="2" t="s">
        <v>57</v>
      </c>
      <c r="K14" s="2" t="s">
        <v>57</v>
      </c>
      <c r="L14" s="2" t="s">
        <v>57</v>
      </c>
      <c r="M14" s="2" t="s">
        <v>57</v>
      </c>
      <c r="N14" s="2" t="s">
        <v>57</v>
      </c>
      <c r="O14" s="2" t="s">
        <v>57</v>
      </c>
      <c r="P14" s="2" t="s">
        <v>57</v>
      </c>
      <c r="Q14" s="2" t="s">
        <v>57</v>
      </c>
      <c r="R14" s="2" t="s">
        <v>57</v>
      </c>
      <c r="S14" s="2" t="s">
        <v>57</v>
      </c>
      <c r="T14" s="2" t="s">
        <v>57</v>
      </c>
      <c r="U14" s="2" t="s">
        <v>57</v>
      </c>
      <c r="V14" s="2" t="s">
        <v>57</v>
      </c>
      <c r="W14" s="2" t="s">
        <v>57</v>
      </c>
      <c r="X14" s="2" t="s">
        <v>57</v>
      </c>
      <c r="Y14" s="2" t="s">
        <v>57</v>
      </c>
      <c r="Z14" s="2" t="s">
        <v>57</v>
      </c>
      <c r="AA14" s="2" t="s">
        <v>57</v>
      </c>
      <c r="AB14" s="1">
        <v>0</v>
      </c>
      <c r="AC14" s="1">
        <v>0</v>
      </c>
      <c r="AD14" s="1">
        <v>0</v>
      </c>
      <c r="AE14" s="1">
        <v>0</v>
      </c>
      <c r="AF14" s="1">
        <v>0</v>
      </c>
      <c r="AG14" s="1">
        <v>0</v>
      </c>
      <c r="AH14" s="1">
        <v>0</v>
      </c>
      <c r="AI14" s="1">
        <v>0</v>
      </c>
      <c r="AJ14" s="1">
        <v>0</v>
      </c>
      <c r="AK14" s="1">
        <v>0</v>
      </c>
      <c r="AM14" s="5" t="s">
        <v>78</v>
      </c>
      <c r="BD14" s="4"/>
      <c r="BE14" s="169"/>
      <c r="BF14" s="5" t="s">
        <v>379</v>
      </c>
      <c r="BG14" s="1">
        <v>0</v>
      </c>
      <c r="BH14" s="1">
        <v>0</v>
      </c>
      <c r="BI14" s="1">
        <v>0</v>
      </c>
      <c r="BJ14" s="1">
        <v>0</v>
      </c>
      <c r="BK14" s="1">
        <v>0</v>
      </c>
      <c r="BL14" s="1">
        <v>0</v>
      </c>
      <c r="BM14" s="1">
        <v>0</v>
      </c>
      <c r="BN14" s="1">
        <v>0</v>
      </c>
      <c r="BO14" s="1">
        <v>0</v>
      </c>
      <c r="BP14" s="1">
        <v>0</v>
      </c>
      <c r="BQ14" s="1">
        <v>0</v>
      </c>
      <c r="BR14" s="1">
        <v>0</v>
      </c>
      <c r="CP14">
        <f>CP13/$DB$13</f>
        <v>9.7014925373134331E-2</v>
      </c>
      <c r="CQ14">
        <f t="shared" ref="CQ14:CY14" si="5">CQ13/$DB$13</f>
        <v>8.2089552238805971E-2</v>
      </c>
      <c r="CR14">
        <f t="shared" si="5"/>
        <v>8.2089552238805971E-2</v>
      </c>
      <c r="CS14">
        <f t="shared" si="5"/>
        <v>8.9552238805970144E-2</v>
      </c>
      <c r="CT14">
        <f t="shared" si="5"/>
        <v>0.11194029850746269</v>
      </c>
      <c r="CU14">
        <f t="shared" si="5"/>
        <v>0.1044776119402985</v>
      </c>
      <c r="CV14">
        <f t="shared" si="5"/>
        <v>9.7014925373134331E-2</v>
      </c>
      <c r="CW14">
        <f t="shared" si="5"/>
        <v>9.7014925373134331E-2</v>
      </c>
      <c r="CX14">
        <f t="shared" si="5"/>
        <v>0.12686567164179105</v>
      </c>
      <c r="CY14">
        <f t="shared" si="5"/>
        <v>0.11194029850746269</v>
      </c>
    </row>
    <row r="15" spans="1:106" ht="15" thickBot="1" x14ac:dyDescent="0.4">
      <c r="A15" s="4"/>
      <c r="B15" s="169"/>
      <c r="C15" s="5" t="s">
        <v>80</v>
      </c>
      <c r="D15" s="2" t="s">
        <v>57</v>
      </c>
      <c r="E15" s="2" t="s">
        <v>57</v>
      </c>
      <c r="F15" s="2" t="s">
        <v>57</v>
      </c>
      <c r="G15" s="2" t="s">
        <v>57</v>
      </c>
      <c r="H15" s="2" t="s">
        <v>57</v>
      </c>
      <c r="I15" s="2" t="s">
        <v>57</v>
      </c>
      <c r="J15" s="2" t="s">
        <v>57</v>
      </c>
      <c r="K15" s="2" t="s">
        <v>57</v>
      </c>
      <c r="L15" s="2" t="s">
        <v>57</v>
      </c>
      <c r="M15" s="2" t="s">
        <v>57</v>
      </c>
      <c r="N15" s="2" t="s">
        <v>57</v>
      </c>
      <c r="O15" s="2" t="s">
        <v>57</v>
      </c>
      <c r="P15" s="2" t="s">
        <v>57</v>
      </c>
      <c r="Q15" s="2" t="s">
        <v>57</v>
      </c>
      <c r="R15" s="2" t="s">
        <v>57</v>
      </c>
      <c r="S15" s="2" t="s">
        <v>57</v>
      </c>
      <c r="T15" s="2" t="s">
        <v>57</v>
      </c>
      <c r="U15" s="2" t="s">
        <v>57</v>
      </c>
      <c r="V15" s="2" t="s">
        <v>57</v>
      </c>
      <c r="W15" s="2" t="s">
        <v>57</v>
      </c>
      <c r="X15" s="2" t="s">
        <v>57</v>
      </c>
      <c r="Y15" s="1">
        <v>1696</v>
      </c>
      <c r="Z15" s="1">
        <v>8387</v>
      </c>
      <c r="AA15" s="1">
        <v>8715</v>
      </c>
      <c r="AB15" s="1">
        <v>8772</v>
      </c>
      <c r="AC15" s="1">
        <v>8403</v>
      </c>
      <c r="AD15" s="1">
        <v>5412</v>
      </c>
      <c r="AE15" s="1">
        <v>8741</v>
      </c>
      <c r="AF15" s="1">
        <v>8979</v>
      </c>
      <c r="AG15" s="1">
        <v>1594</v>
      </c>
      <c r="AH15" s="1">
        <v>7581</v>
      </c>
      <c r="AI15" s="1">
        <v>3343</v>
      </c>
      <c r="AJ15" s="1">
        <v>2912</v>
      </c>
      <c r="AK15" s="1">
        <v>891</v>
      </c>
      <c r="AM15" s="5" t="s">
        <v>80</v>
      </c>
      <c r="BD15" s="4"/>
      <c r="BE15" s="169"/>
      <c r="BF15" s="5" t="s">
        <v>380</v>
      </c>
      <c r="BG15" s="1">
        <v>188</v>
      </c>
      <c r="BH15" s="1">
        <v>213</v>
      </c>
      <c r="BI15" s="1">
        <v>275</v>
      </c>
      <c r="BJ15" s="1">
        <v>316</v>
      </c>
      <c r="BK15" s="1">
        <v>289</v>
      </c>
      <c r="BL15" s="1">
        <v>233</v>
      </c>
      <c r="BM15" s="1">
        <v>326</v>
      </c>
      <c r="BN15" s="1">
        <v>299</v>
      </c>
      <c r="BO15" s="1">
        <v>243</v>
      </c>
      <c r="BP15" s="1">
        <v>259</v>
      </c>
      <c r="BQ15" s="1">
        <v>162</v>
      </c>
      <c r="BR15" s="1">
        <v>109</v>
      </c>
      <c r="CO15" s="25" t="s">
        <v>180</v>
      </c>
      <c r="CP15" s="25">
        <v>1.45</v>
      </c>
      <c r="CQ15" s="25">
        <v>1.3</v>
      </c>
      <c r="CR15" s="25">
        <v>1.3</v>
      </c>
      <c r="CS15" s="25">
        <v>1.2</v>
      </c>
      <c r="CT15" s="25">
        <v>1.65</v>
      </c>
      <c r="CU15" s="25">
        <v>1.7</v>
      </c>
      <c r="CV15" s="25">
        <v>1.7</v>
      </c>
      <c r="CW15" s="25">
        <v>1.45</v>
      </c>
      <c r="CX15" s="25">
        <v>1.75</v>
      </c>
      <c r="CY15" s="25">
        <v>1.6</v>
      </c>
      <c r="CZ15" s="25"/>
      <c r="DB15">
        <f>SUM(CP15:CZ15)</f>
        <v>15.099999999999998</v>
      </c>
    </row>
    <row r="16" spans="1:106" ht="15" thickBot="1" x14ac:dyDescent="0.4">
      <c r="A16" s="4"/>
      <c r="B16" s="169"/>
      <c r="C16" s="5" t="s">
        <v>82</v>
      </c>
      <c r="D16" s="2" t="s">
        <v>57</v>
      </c>
      <c r="E16" s="2" t="s">
        <v>57</v>
      </c>
      <c r="F16" s="2" t="s">
        <v>57</v>
      </c>
      <c r="G16" s="2" t="s">
        <v>57</v>
      </c>
      <c r="H16" s="2" t="s">
        <v>57</v>
      </c>
      <c r="I16" s="2" t="s">
        <v>57</v>
      </c>
      <c r="J16" s="2" t="s">
        <v>57</v>
      </c>
      <c r="K16" s="2" t="s">
        <v>57</v>
      </c>
      <c r="L16" s="2" t="s">
        <v>57</v>
      </c>
      <c r="M16" s="2" t="s">
        <v>57</v>
      </c>
      <c r="N16" s="2" t="s">
        <v>57</v>
      </c>
      <c r="O16" s="2" t="s">
        <v>57</v>
      </c>
      <c r="P16" s="2" t="s">
        <v>57</v>
      </c>
      <c r="Q16" s="2" t="s">
        <v>57</v>
      </c>
      <c r="R16" s="2" t="s">
        <v>57</v>
      </c>
      <c r="S16" s="2" t="s">
        <v>57</v>
      </c>
      <c r="T16" s="2" t="s">
        <v>57</v>
      </c>
      <c r="U16" s="2" t="s">
        <v>57</v>
      </c>
      <c r="V16" s="2" t="s">
        <v>57</v>
      </c>
      <c r="W16" s="2" t="s">
        <v>57</v>
      </c>
      <c r="X16" s="2" t="s">
        <v>57</v>
      </c>
      <c r="Y16" s="2" t="s">
        <v>57</v>
      </c>
      <c r="Z16" s="2" t="s">
        <v>57</v>
      </c>
      <c r="AA16" s="2" t="s">
        <v>57</v>
      </c>
      <c r="AB16" s="1">
        <v>0</v>
      </c>
      <c r="AC16" s="1">
        <v>0</v>
      </c>
      <c r="AD16" s="1">
        <v>0</v>
      </c>
      <c r="AE16" s="1">
        <v>0</v>
      </c>
      <c r="AF16" s="1">
        <v>0</v>
      </c>
      <c r="AG16" s="1">
        <v>0</v>
      </c>
      <c r="AH16" s="1">
        <v>0</v>
      </c>
      <c r="AI16" s="1">
        <v>0</v>
      </c>
      <c r="AJ16" s="1">
        <v>0</v>
      </c>
      <c r="AK16" s="1">
        <v>0</v>
      </c>
      <c r="AM16" s="5" t="s">
        <v>82</v>
      </c>
      <c r="BD16" s="4"/>
      <c r="BE16" s="169"/>
      <c r="BF16" s="5" t="s">
        <v>381</v>
      </c>
      <c r="BG16" s="1">
        <v>0</v>
      </c>
      <c r="BH16" s="1">
        <v>0</v>
      </c>
      <c r="BI16" s="1">
        <v>0</v>
      </c>
      <c r="BJ16" s="1">
        <v>0</v>
      </c>
      <c r="BK16" s="1">
        <v>0</v>
      </c>
      <c r="BL16" s="1">
        <v>0</v>
      </c>
      <c r="BM16" s="1">
        <v>0</v>
      </c>
      <c r="BN16" s="1">
        <v>0</v>
      </c>
      <c r="BO16" s="1">
        <v>0</v>
      </c>
      <c r="BP16" s="1">
        <v>0</v>
      </c>
      <c r="BQ16" s="1">
        <v>0</v>
      </c>
      <c r="BR16" s="1">
        <v>0</v>
      </c>
      <c r="CP16">
        <f>CP15/$DB$15</f>
        <v>9.602649006622517E-2</v>
      </c>
      <c r="CQ16">
        <f t="shared" ref="CQ16:CY16" si="6">CQ15/$DB$15</f>
        <v>8.6092715231788089E-2</v>
      </c>
      <c r="CR16">
        <f t="shared" si="6"/>
        <v>8.6092715231788089E-2</v>
      </c>
      <c r="CS16">
        <f t="shared" si="6"/>
        <v>7.9470198675496692E-2</v>
      </c>
      <c r="CT16">
        <f t="shared" si="6"/>
        <v>0.10927152317880795</v>
      </c>
      <c r="CU16">
        <f t="shared" si="6"/>
        <v>0.11258278145695366</v>
      </c>
      <c r="CV16">
        <f t="shared" si="6"/>
        <v>0.11258278145695366</v>
      </c>
      <c r="CW16">
        <f t="shared" si="6"/>
        <v>9.602649006622517E-2</v>
      </c>
      <c r="CX16">
        <f t="shared" si="6"/>
        <v>0.11589403973509936</v>
      </c>
      <c r="CY16">
        <f t="shared" si="6"/>
        <v>0.10596026490066228</v>
      </c>
    </row>
    <row r="17" spans="1:135" ht="15" thickBot="1" x14ac:dyDescent="0.4">
      <c r="A17" s="4"/>
      <c r="B17" s="169"/>
      <c r="C17" s="5" t="s">
        <v>84</v>
      </c>
      <c r="D17" s="2" t="s">
        <v>57</v>
      </c>
      <c r="E17" s="2" t="s">
        <v>57</v>
      </c>
      <c r="F17" s="2" t="s">
        <v>57</v>
      </c>
      <c r="G17" s="2" t="s">
        <v>57</v>
      </c>
      <c r="H17" s="2" t="s">
        <v>57</v>
      </c>
      <c r="I17" s="2" t="s">
        <v>57</v>
      </c>
      <c r="J17" s="2" t="s">
        <v>57</v>
      </c>
      <c r="K17" s="2" t="s">
        <v>57</v>
      </c>
      <c r="L17" s="2" t="s">
        <v>57</v>
      </c>
      <c r="M17" s="2" t="s">
        <v>57</v>
      </c>
      <c r="N17" s="2" t="s">
        <v>57</v>
      </c>
      <c r="O17" s="2" t="s">
        <v>57</v>
      </c>
      <c r="P17" s="2" t="s">
        <v>57</v>
      </c>
      <c r="Q17" s="2" t="s">
        <v>57</v>
      </c>
      <c r="R17" s="2" t="s">
        <v>57</v>
      </c>
      <c r="S17" s="2" t="s">
        <v>57</v>
      </c>
      <c r="T17" s="2" t="s">
        <v>57</v>
      </c>
      <c r="U17" s="2" t="s">
        <v>57</v>
      </c>
      <c r="V17" s="2" t="s">
        <v>57</v>
      </c>
      <c r="W17" s="2" t="s">
        <v>57</v>
      </c>
      <c r="X17" s="2" t="s">
        <v>57</v>
      </c>
      <c r="Y17" s="2" t="s">
        <v>57</v>
      </c>
      <c r="Z17" s="2" t="s">
        <v>57</v>
      </c>
      <c r="AA17" s="2" t="s">
        <v>57</v>
      </c>
      <c r="AB17" s="1">
        <v>0</v>
      </c>
      <c r="AC17" s="1">
        <v>0</v>
      </c>
      <c r="AD17" s="1">
        <v>0</v>
      </c>
      <c r="AE17" s="1">
        <v>0</v>
      </c>
      <c r="AF17" s="1">
        <v>0</v>
      </c>
      <c r="AG17" s="1">
        <v>0</v>
      </c>
      <c r="AH17" s="1">
        <v>0</v>
      </c>
      <c r="AI17" s="1">
        <v>0</v>
      </c>
      <c r="AJ17" s="1">
        <v>0</v>
      </c>
      <c r="AK17" s="1">
        <v>0</v>
      </c>
      <c r="AM17" s="5" t="s">
        <v>84</v>
      </c>
      <c r="BD17" s="4"/>
      <c r="BE17" s="169"/>
      <c r="BF17" s="5" t="s">
        <v>382</v>
      </c>
      <c r="BG17" s="1">
        <v>0</v>
      </c>
      <c r="BH17" s="1">
        <v>0</v>
      </c>
      <c r="BI17" s="1">
        <v>0</v>
      </c>
      <c r="BJ17" s="1">
        <v>0</v>
      </c>
      <c r="BK17" s="1">
        <v>0</v>
      </c>
      <c r="BL17" s="1">
        <v>0</v>
      </c>
      <c r="BM17" s="1">
        <v>0</v>
      </c>
      <c r="BN17" s="1">
        <v>0</v>
      </c>
      <c r="BO17" s="1">
        <v>0</v>
      </c>
      <c r="BP17" s="1">
        <v>0</v>
      </c>
      <c r="BQ17" s="1">
        <v>0</v>
      </c>
      <c r="BR17" s="1">
        <v>0</v>
      </c>
      <c r="CO17" s="25" t="s">
        <v>183</v>
      </c>
      <c r="CP17" s="25">
        <v>1.45</v>
      </c>
      <c r="CQ17" s="25">
        <v>1.3</v>
      </c>
      <c r="CR17" s="25">
        <v>1.3</v>
      </c>
      <c r="CS17" s="25">
        <v>1.2</v>
      </c>
      <c r="CT17" s="25">
        <v>1.7</v>
      </c>
      <c r="CU17" s="25">
        <v>1.7</v>
      </c>
      <c r="CV17" s="25">
        <v>1.7</v>
      </c>
      <c r="CW17" s="25">
        <v>1.45</v>
      </c>
      <c r="CX17" s="25">
        <v>1.8</v>
      </c>
      <c r="CY17" s="26">
        <v>1.8</v>
      </c>
      <c r="CZ17" s="27"/>
      <c r="DB17">
        <f>SUM(CP17:CZ17)</f>
        <v>15.4</v>
      </c>
      <c r="ED17" s="29" t="s">
        <v>91</v>
      </c>
      <c r="EE17" t="s">
        <v>383</v>
      </c>
    </row>
    <row r="18" spans="1:135" ht="15" thickBot="1" x14ac:dyDescent="0.4">
      <c r="A18" s="4"/>
      <c r="B18" s="170"/>
      <c r="C18" s="5" t="s">
        <v>86</v>
      </c>
      <c r="D18" s="2" t="s">
        <v>57</v>
      </c>
      <c r="E18" s="2" t="s">
        <v>57</v>
      </c>
      <c r="F18" s="2" t="s">
        <v>57</v>
      </c>
      <c r="G18" s="2" t="s">
        <v>57</v>
      </c>
      <c r="H18" s="2" t="s">
        <v>57</v>
      </c>
      <c r="I18" s="2" t="s">
        <v>57</v>
      </c>
      <c r="J18" s="2" t="s">
        <v>57</v>
      </c>
      <c r="K18" s="2" t="s">
        <v>57</v>
      </c>
      <c r="L18" s="2" t="s">
        <v>57</v>
      </c>
      <c r="M18" s="2" t="s">
        <v>57</v>
      </c>
      <c r="N18" s="2" t="s">
        <v>57</v>
      </c>
      <c r="O18" s="2" t="s">
        <v>57</v>
      </c>
      <c r="P18" s="2" t="s">
        <v>57</v>
      </c>
      <c r="Q18" s="2" t="s">
        <v>57</v>
      </c>
      <c r="R18" s="2" t="s">
        <v>57</v>
      </c>
      <c r="S18" s="1">
        <v>0</v>
      </c>
      <c r="T18" s="1">
        <v>0</v>
      </c>
      <c r="U18" s="1">
        <v>0</v>
      </c>
      <c r="V18" s="1">
        <v>0</v>
      </c>
      <c r="W18" s="2" t="s">
        <v>57</v>
      </c>
      <c r="X18" s="2" t="s">
        <v>57</v>
      </c>
      <c r="Y18" s="2" t="s">
        <v>57</v>
      </c>
      <c r="Z18" s="2" t="s">
        <v>57</v>
      </c>
      <c r="AA18" s="2" t="s">
        <v>57</v>
      </c>
      <c r="AB18" s="1">
        <v>0</v>
      </c>
      <c r="AC18" s="1">
        <v>0</v>
      </c>
      <c r="AD18" s="1">
        <v>0</v>
      </c>
      <c r="AE18" s="1">
        <v>0</v>
      </c>
      <c r="AF18" s="1">
        <v>0</v>
      </c>
      <c r="AG18" s="1">
        <v>0</v>
      </c>
      <c r="AH18" s="1">
        <v>0</v>
      </c>
      <c r="AI18" s="1">
        <v>0</v>
      </c>
      <c r="AJ18" s="1">
        <v>0</v>
      </c>
      <c r="AK18" s="1">
        <v>0</v>
      </c>
      <c r="AM18" s="5" t="s">
        <v>86</v>
      </c>
      <c r="BD18" s="4"/>
      <c r="BE18" s="170"/>
      <c r="BF18" s="5" t="s">
        <v>86</v>
      </c>
      <c r="BG18" s="1">
        <v>0</v>
      </c>
      <c r="BH18" s="1">
        <v>0</v>
      </c>
      <c r="BI18" s="1">
        <v>0</v>
      </c>
      <c r="BJ18" s="1">
        <v>0</v>
      </c>
      <c r="BK18" s="1">
        <v>0</v>
      </c>
      <c r="BL18" s="1">
        <v>0</v>
      </c>
      <c r="BM18" s="1">
        <v>0</v>
      </c>
      <c r="BN18" s="1">
        <v>0</v>
      </c>
      <c r="BO18" s="1">
        <v>0</v>
      </c>
      <c r="BP18" s="1">
        <v>0</v>
      </c>
      <c r="BQ18" s="1">
        <v>0</v>
      </c>
      <c r="BR18" s="1">
        <v>0</v>
      </c>
      <c r="CP18">
        <f>CP17/$DB$17</f>
        <v>9.4155844155844146E-2</v>
      </c>
      <c r="CQ18">
        <f t="shared" ref="CQ18:CY18" si="7">CQ17/$DB$17</f>
        <v>8.4415584415584416E-2</v>
      </c>
      <c r="CR18">
        <f t="shared" si="7"/>
        <v>8.4415584415584416E-2</v>
      </c>
      <c r="CS18">
        <f t="shared" si="7"/>
        <v>7.792207792207792E-2</v>
      </c>
      <c r="CT18">
        <f t="shared" si="7"/>
        <v>0.11038961038961038</v>
      </c>
      <c r="CU18">
        <f t="shared" si="7"/>
        <v>0.11038961038961038</v>
      </c>
      <c r="CV18">
        <f t="shared" si="7"/>
        <v>0.11038961038961038</v>
      </c>
      <c r="CW18">
        <f t="shared" si="7"/>
        <v>9.4155844155844146E-2</v>
      </c>
      <c r="CX18">
        <f t="shared" si="7"/>
        <v>0.11688311688311688</v>
      </c>
      <c r="CY18">
        <f t="shared" si="7"/>
        <v>0.11688311688311688</v>
      </c>
    </row>
    <row r="19" spans="1:135" ht="15" thickBot="1" x14ac:dyDescent="0.4">
      <c r="A19" s="6"/>
      <c r="B19" s="158" t="s">
        <v>87</v>
      </c>
      <c r="C19" s="159"/>
      <c r="D19" s="7">
        <v>5903425</v>
      </c>
      <c r="E19" s="7">
        <v>5634504</v>
      </c>
      <c r="F19" s="7">
        <v>7092200</v>
      </c>
      <c r="G19" s="7">
        <v>6754050</v>
      </c>
      <c r="H19" s="7">
        <v>6096025</v>
      </c>
      <c r="I19" s="7">
        <v>6099510</v>
      </c>
      <c r="J19" s="7">
        <v>6243480</v>
      </c>
      <c r="K19" s="7">
        <v>6412830</v>
      </c>
      <c r="L19" s="7">
        <v>6881420</v>
      </c>
      <c r="M19" s="7">
        <v>7457660</v>
      </c>
      <c r="N19" s="7">
        <v>8033660</v>
      </c>
      <c r="O19" s="7">
        <v>8262250</v>
      </c>
      <c r="P19" s="7">
        <v>8745998</v>
      </c>
      <c r="Q19" s="7">
        <v>9158680</v>
      </c>
      <c r="R19" s="7">
        <v>9880457</v>
      </c>
      <c r="S19" s="7">
        <v>10265852</v>
      </c>
      <c r="T19" s="7">
        <v>10938060</v>
      </c>
      <c r="U19" s="7">
        <v>11367666</v>
      </c>
      <c r="V19" s="7">
        <v>11597202</v>
      </c>
      <c r="W19" s="7">
        <v>11871381</v>
      </c>
      <c r="X19" s="7">
        <v>12035460</v>
      </c>
      <c r="Y19" s="7">
        <v>11779151</v>
      </c>
      <c r="Z19" s="7">
        <v>11283821</v>
      </c>
      <c r="AA19" s="7">
        <v>11452123</v>
      </c>
      <c r="AB19" s="7">
        <v>11381243</v>
      </c>
      <c r="AC19" s="7">
        <v>11640739</v>
      </c>
      <c r="AD19" s="7">
        <v>11735644</v>
      </c>
      <c r="AE19" s="7">
        <v>12056532</v>
      </c>
      <c r="AF19" s="7">
        <v>11982224</v>
      </c>
      <c r="AG19" s="7">
        <v>11617719</v>
      </c>
      <c r="AH19" s="7">
        <v>11399742</v>
      </c>
      <c r="AI19" s="7">
        <v>12165740</v>
      </c>
      <c r="AJ19" s="7">
        <v>12087250</v>
      </c>
      <c r="AK19" s="7">
        <v>7689578</v>
      </c>
      <c r="BD19" s="6"/>
      <c r="BE19" s="158" t="s">
        <v>87</v>
      </c>
      <c r="BF19" s="159"/>
      <c r="BG19" s="7">
        <v>1010307</v>
      </c>
      <c r="BH19" s="7">
        <v>898605</v>
      </c>
      <c r="BI19" s="7">
        <v>1008586</v>
      </c>
      <c r="BJ19" s="7">
        <v>953791</v>
      </c>
      <c r="BK19" s="7">
        <v>1007193</v>
      </c>
      <c r="BL19" s="7">
        <v>977107</v>
      </c>
      <c r="BM19" s="7">
        <v>1077962</v>
      </c>
      <c r="BN19" s="7">
        <v>1124809</v>
      </c>
      <c r="BO19" s="7">
        <v>1041256</v>
      </c>
      <c r="BP19" s="7">
        <v>993921</v>
      </c>
      <c r="BQ19" s="7">
        <v>975215</v>
      </c>
      <c r="BR19" s="7">
        <v>1018498</v>
      </c>
      <c r="CO19" s="25" t="s">
        <v>187</v>
      </c>
      <c r="CP19" s="25">
        <v>1.4</v>
      </c>
      <c r="CQ19" s="25">
        <v>1.3</v>
      </c>
      <c r="CR19" s="25">
        <v>1.3</v>
      </c>
      <c r="CS19" s="25">
        <v>1.3</v>
      </c>
      <c r="CT19" s="25">
        <v>1.6</v>
      </c>
      <c r="CU19" s="25">
        <v>1.6</v>
      </c>
      <c r="CV19" s="25">
        <v>1.6</v>
      </c>
      <c r="CW19" s="25">
        <v>1.45</v>
      </c>
      <c r="CX19" s="25">
        <v>1.8</v>
      </c>
      <c r="CY19" s="25">
        <v>1.75</v>
      </c>
      <c r="CZ19" s="25"/>
      <c r="DB19">
        <f>SUM(CP19:CZ19)</f>
        <v>15.1</v>
      </c>
    </row>
    <row r="20" spans="1:135" x14ac:dyDescent="0.35">
      <c r="A20" s="8"/>
      <c r="B20" s="9"/>
      <c r="C20" s="9"/>
      <c r="D20" s="9"/>
      <c r="E20" s="9"/>
      <c r="F20" s="9"/>
      <c r="BD20" s="8"/>
      <c r="BE20" s="9"/>
      <c r="BF20" s="9"/>
      <c r="BG20" s="9"/>
      <c r="BH20" s="9"/>
      <c r="BI20" s="9"/>
      <c r="CP20">
        <f>CP19/$DB$19</f>
        <v>9.2715231788079472E-2</v>
      </c>
      <c r="CQ20">
        <f t="shared" ref="CQ20:CY20" si="8">CQ19/$DB$19</f>
        <v>8.6092715231788089E-2</v>
      </c>
      <c r="CR20">
        <f t="shared" si="8"/>
        <v>8.6092715231788089E-2</v>
      </c>
      <c r="CS20">
        <f t="shared" si="8"/>
        <v>8.6092715231788089E-2</v>
      </c>
      <c r="CT20">
        <f t="shared" si="8"/>
        <v>0.10596026490066227</v>
      </c>
      <c r="CU20">
        <f t="shared" si="8"/>
        <v>0.10596026490066227</v>
      </c>
      <c r="CV20">
        <f t="shared" si="8"/>
        <v>0.10596026490066227</v>
      </c>
      <c r="CW20">
        <f t="shared" si="8"/>
        <v>9.602649006622517E-2</v>
      </c>
      <c r="CX20">
        <f t="shared" si="8"/>
        <v>0.11920529801324505</v>
      </c>
      <c r="CY20">
        <f t="shared" si="8"/>
        <v>0.11589403973509935</v>
      </c>
    </row>
    <row r="21" spans="1:135" x14ac:dyDescent="0.35">
      <c r="F21" s="8"/>
      <c r="BF21" t="s">
        <v>384</v>
      </c>
      <c r="BG21">
        <f>SUM(BG4:BG6,BG9:BG17)</f>
        <v>494487</v>
      </c>
      <c r="BH21">
        <f t="shared" ref="BH21:BR21" si="9">SUM(BH4:BH6,BH9:BH17)</f>
        <v>365888</v>
      </c>
      <c r="BI21">
        <f t="shared" si="9"/>
        <v>711262</v>
      </c>
      <c r="BJ21">
        <f t="shared" si="9"/>
        <v>583842</v>
      </c>
      <c r="BK21">
        <f t="shared" si="9"/>
        <v>523106</v>
      </c>
      <c r="BL21">
        <f t="shared" si="9"/>
        <v>444609</v>
      </c>
      <c r="BM21">
        <f t="shared" si="9"/>
        <v>232187</v>
      </c>
      <c r="BN21">
        <f t="shared" si="9"/>
        <v>232890</v>
      </c>
      <c r="BO21">
        <f t="shared" si="9"/>
        <v>382105</v>
      </c>
      <c r="BP21">
        <f t="shared" si="9"/>
        <v>473900</v>
      </c>
      <c r="BQ21">
        <f t="shared" si="9"/>
        <v>633496</v>
      </c>
      <c r="BR21">
        <f t="shared" si="9"/>
        <v>686382</v>
      </c>
      <c r="CO21" s="25" t="s">
        <v>191</v>
      </c>
      <c r="CP21" s="25">
        <v>1.3</v>
      </c>
      <c r="CQ21" s="25">
        <v>1.2</v>
      </c>
      <c r="CR21" s="25">
        <v>1.2</v>
      </c>
      <c r="CS21" s="25">
        <v>1.2</v>
      </c>
      <c r="CT21" s="25">
        <v>1.45</v>
      </c>
      <c r="CU21" s="25">
        <v>1.45</v>
      </c>
      <c r="CV21" s="25">
        <v>1.45</v>
      </c>
      <c r="CW21" s="25">
        <v>1.4</v>
      </c>
      <c r="CX21" s="25">
        <v>1.7</v>
      </c>
      <c r="CY21" s="25">
        <v>1.6</v>
      </c>
      <c r="CZ21" s="25"/>
      <c r="DB21">
        <f>SUM(CP21:CZ21)</f>
        <v>13.95</v>
      </c>
    </row>
    <row r="22" spans="1:135" x14ac:dyDescent="0.35">
      <c r="AI22" s="5" t="s">
        <v>60</v>
      </c>
      <c r="AJ22" s="1">
        <v>684548</v>
      </c>
      <c r="BF22" t="s">
        <v>385</v>
      </c>
      <c r="BG22">
        <f>BG19-BG21</f>
        <v>515820</v>
      </c>
      <c r="BH22">
        <f t="shared" ref="BH22:BR22" si="10">BH19-BH21</f>
        <v>532717</v>
      </c>
      <c r="BI22">
        <f t="shared" si="10"/>
        <v>297324</v>
      </c>
      <c r="BJ22">
        <f t="shared" si="10"/>
        <v>369949</v>
      </c>
      <c r="BK22">
        <f t="shared" si="10"/>
        <v>484087</v>
      </c>
      <c r="BL22">
        <f t="shared" si="10"/>
        <v>532498</v>
      </c>
      <c r="BM22">
        <f t="shared" si="10"/>
        <v>845775</v>
      </c>
      <c r="BN22">
        <f t="shared" si="10"/>
        <v>891919</v>
      </c>
      <c r="BO22">
        <f t="shared" si="10"/>
        <v>659151</v>
      </c>
      <c r="BP22">
        <f t="shared" si="10"/>
        <v>520021</v>
      </c>
      <c r="BQ22">
        <f t="shared" si="10"/>
        <v>341719</v>
      </c>
      <c r="BR22">
        <f t="shared" si="10"/>
        <v>332116</v>
      </c>
      <c r="CP22">
        <f>CP21/$DB$21</f>
        <v>9.3189964157706098E-2</v>
      </c>
      <c r="CQ22">
        <f t="shared" ref="CQ22:CY22" si="11">CQ21/$DB$21</f>
        <v>8.6021505376344093E-2</v>
      </c>
      <c r="CR22">
        <f t="shared" si="11"/>
        <v>8.6021505376344093E-2</v>
      </c>
      <c r="CS22">
        <f t="shared" si="11"/>
        <v>8.6021505376344093E-2</v>
      </c>
      <c r="CT22">
        <f t="shared" si="11"/>
        <v>0.1039426523297491</v>
      </c>
      <c r="CU22">
        <f t="shared" si="11"/>
        <v>0.1039426523297491</v>
      </c>
      <c r="CV22">
        <f t="shared" si="11"/>
        <v>0.1039426523297491</v>
      </c>
      <c r="CW22">
        <f t="shared" si="11"/>
        <v>0.1003584229390681</v>
      </c>
      <c r="CX22">
        <f t="shared" si="11"/>
        <v>0.12186379928315412</v>
      </c>
      <c r="CY22">
        <f t="shared" si="11"/>
        <v>0.11469534050179213</v>
      </c>
    </row>
    <row r="23" spans="1:135" x14ac:dyDescent="0.35">
      <c r="AI23" s="5" t="s">
        <v>66</v>
      </c>
      <c r="AJ23" s="1">
        <v>6323096</v>
      </c>
      <c r="CO23" s="25" t="s">
        <v>193</v>
      </c>
      <c r="CP23" s="25">
        <v>1.3</v>
      </c>
      <c r="CQ23" s="25">
        <v>1.2</v>
      </c>
      <c r="CR23" s="25">
        <v>1.2</v>
      </c>
      <c r="CS23" s="25">
        <v>1.3</v>
      </c>
      <c r="CT23" s="25">
        <v>1.5</v>
      </c>
      <c r="CU23" s="25">
        <v>1.45</v>
      </c>
      <c r="CV23" s="25">
        <v>1.4</v>
      </c>
      <c r="CW23" s="25">
        <v>1.8</v>
      </c>
      <c r="CX23" s="25">
        <v>1.8</v>
      </c>
      <c r="CY23" s="25">
        <v>1.6</v>
      </c>
      <c r="CZ23" s="25"/>
      <c r="DB23">
        <f>SUM(CP23:CZ23)</f>
        <v>14.55</v>
      </c>
    </row>
    <row r="24" spans="1:135" x14ac:dyDescent="0.35">
      <c r="AI24" s="5" t="s">
        <v>70</v>
      </c>
      <c r="AJ24" s="1">
        <v>5076694</v>
      </c>
      <c r="BF24" t="s">
        <v>59</v>
      </c>
      <c r="BG24">
        <f>BG6+BG11+BG14+BG16</f>
        <v>45570</v>
      </c>
      <c r="BH24">
        <f t="shared" ref="BH24:BR24" si="12">BH6+BH11+BH14+BH16</f>
        <v>58730</v>
      </c>
      <c r="BI24">
        <f t="shared" si="12"/>
        <v>91719</v>
      </c>
      <c r="BJ24">
        <f t="shared" si="12"/>
        <v>39500</v>
      </c>
      <c r="BK24">
        <f t="shared" si="12"/>
        <v>36043</v>
      </c>
      <c r="BL24">
        <f t="shared" si="12"/>
        <v>48895</v>
      </c>
      <c r="BM24">
        <f t="shared" si="12"/>
        <v>40011</v>
      </c>
      <c r="BN24">
        <f t="shared" si="12"/>
        <v>35476</v>
      </c>
      <c r="BO24">
        <f t="shared" si="12"/>
        <v>62862</v>
      </c>
      <c r="BP24">
        <f t="shared" si="12"/>
        <v>79895</v>
      </c>
      <c r="BQ24">
        <f t="shared" si="12"/>
        <v>90411</v>
      </c>
      <c r="BR24">
        <f t="shared" si="12"/>
        <v>55436</v>
      </c>
      <c r="CP24">
        <f>CP23/$DB$23</f>
        <v>8.9347079037800689E-2</v>
      </c>
      <c r="CQ24">
        <f t="shared" ref="CQ24:CY24" si="13">CQ23/$DB$23</f>
        <v>8.247422680412371E-2</v>
      </c>
      <c r="CR24">
        <f t="shared" si="13"/>
        <v>8.247422680412371E-2</v>
      </c>
      <c r="CS24">
        <f t="shared" si="13"/>
        <v>8.9347079037800689E-2</v>
      </c>
      <c r="CT24">
        <f t="shared" si="13"/>
        <v>0.10309278350515463</v>
      </c>
      <c r="CU24">
        <f t="shared" si="13"/>
        <v>9.9656357388316144E-2</v>
      </c>
      <c r="CV24">
        <f t="shared" si="13"/>
        <v>9.6219931271477654E-2</v>
      </c>
      <c r="CW24">
        <f t="shared" si="13"/>
        <v>0.12371134020618556</v>
      </c>
      <c r="CX24">
        <f t="shared" si="13"/>
        <v>0.12371134020618556</v>
      </c>
      <c r="CY24">
        <f t="shared" si="13"/>
        <v>0.10996563573883161</v>
      </c>
    </row>
    <row r="25" spans="1:135" x14ac:dyDescent="0.35">
      <c r="AI25" s="5" t="s">
        <v>386</v>
      </c>
      <c r="AJ25" s="1">
        <v>2912</v>
      </c>
      <c r="AK25">
        <f>(AJ15/AJ19)*100</f>
        <v>2.4091501375416245E-2</v>
      </c>
      <c r="CO25" s="25" t="s">
        <v>195</v>
      </c>
      <c r="CP25" s="25">
        <v>1.3</v>
      </c>
      <c r="CQ25" s="25">
        <v>1.2</v>
      </c>
      <c r="CR25" s="25">
        <v>1.2</v>
      </c>
      <c r="CS25" s="25">
        <v>1.3</v>
      </c>
      <c r="CT25" s="25">
        <v>1.45</v>
      </c>
      <c r="CU25" s="25">
        <v>1.45</v>
      </c>
      <c r="CV25" s="25">
        <v>1.45</v>
      </c>
      <c r="CW25" s="25">
        <v>1.5</v>
      </c>
      <c r="CX25" s="25">
        <v>1.9</v>
      </c>
      <c r="CY25" s="25">
        <v>1.8</v>
      </c>
      <c r="CZ25" s="25"/>
      <c r="DB25">
        <f>SUM(CP25:CZ25)</f>
        <v>14.55</v>
      </c>
    </row>
    <row r="26" spans="1:135" x14ac:dyDescent="0.35">
      <c r="CP26">
        <f>CP25/$DB$25</f>
        <v>8.9347079037800689E-2</v>
      </c>
      <c r="CQ26">
        <f t="shared" ref="CQ26:CY26" si="14">CQ25/$DB$25</f>
        <v>8.247422680412371E-2</v>
      </c>
      <c r="CR26">
        <f t="shared" si="14"/>
        <v>8.247422680412371E-2</v>
      </c>
      <c r="CS26">
        <f t="shared" si="14"/>
        <v>8.9347079037800689E-2</v>
      </c>
      <c r="CT26">
        <f t="shared" si="14"/>
        <v>9.9656357388316144E-2</v>
      </c>
      <c r="CU26">
        <f t="shared" si="14"/>
        <v>9.9656357388316144E-2</v>
      </c>
      <c r="CV26">
        <f t="shared" si="14"/>
        <v>9.9656357388316144E-2</v>
      </c>
      <c r="CW26">
        <f t="shared" si="14"/>
        <v>0.10309278350515463</v>
      </c>
      <c r="CX26">
        <f t="shared" si="14"/>
        <v>0.13058419243986252</v>
      </c>
      <c r="CY26">
        <f t="shared" si="14"/>
        <v>0.12371134020618556</v>
      </c>
    </row>
    <row r="27" spans="1:135" ht="14.5" customHeight="1" x14ac:dyDescent="0.35">
      <c r="AJ27">
        <f>AJ15*10^-3</f>
        <v>2.9119999999999999</v>
      </c>
    </row>
    <row r="28" spans="1:135" ht="14.5" customHeight="1" x14ac:dyDescent="0.35"/>
    <row r="29" spans="1:135" ht="14.5" customHeight="1" x14ac:dyDescent="0.35">
      <c r="CB29" s="29" t="s">
        <v>164</v>
      </c>
      <c r="CS29" s="29" t="s">
        <v>142</v>
      </c>
      <c r="DH29" s="29" t="s">
        <v>167</v>
      </c>
      <c r="DW29" s="29" t="s">
        <v>169</v>
      </c>
    </row>
    <row r="31" spans="1:135" ht="14.5" customHeight="1" x14ac:dyDescent="0.35"/>
    <row r="32" spans="1:135" ht="14.5" customHeight="1" x14ac:dyDescent="0.35">
      <c r="BU32" t="s">
        <v>387</v>
      </c>
    </row>
    <row r="33" spans="1:138" ht="14.5" customHeight="1" thickBot="1" x14ac:dyDescent="0.4"/>
    <row r="34" spans="1:138" ht="14.5" customHeight="1" thickBot="1" x14ac:dyDescent="0.4">
      <c r="BD34" s="172" t="s">
        <v>132</v>
      </c>
      <c r="BE34" s="173"/>
      <c r="BF34" s="164" t="s">
        <v>1</v>
      </c>
      <c r="BG34" s="158"/>
      <c r="BH34" s="158"/>
      <c r="BI34" s="158"/>
      <c r="BJ34" s="158"/>
      <c r="BK34" s="158"/>
      <c r="BL34" s="158"/>
      <c r="BM34" s="158"/>
      <c r="BN34" s="158"/>
      <c r="BO34" s="158"/>
      <c r="BP34" s="158"/>
      <c r="BQ34" s="158"/>
      <c r="BR34" s="3"/>
    </row>
    <row r="35" spans="1:138" ht="14.5" customHeight="1" thickBot="1" x14ac:dyDescent="0.4">
      <c r="BD35" s="174"/>
      <c r="BE35" s="175"/>
      <c r="BF35" s="8"/>
      <c r="BG35" s="165" t="s">
        <v>39</v>
      </c>
      <c r="BH35" s="166"/>
      <c r="BI35" s="166"/>
      <c r="BJ35" s="166"/>
      <c r="BK35" s="166"/>
      <c r="BL35" s="166"/>
      <c r="BM35" s="166"/>
      <c r="BN35" s="166"/>
      <c r="BO35" s="166"/>
      <c r="BP35" s="166"/>
      <c r="BQ35" s="166"/>
      <c r="BR35" s="167"/>
      <c r="CC35" t="s">
        <v>181</v>
      </c>
      <c r="CD35">
        <f>BG44/31</f>
        <v>27987.258064516129</v>
      </c>
      <c r="CT35" t="s">
        <v>181</v>
      </c>
      <c r="CU35">
        <f>BH44/28</f>
        <v>31057.071428571428</v>
      </c>
      <c r="DI35" t="s">
        <v>181</v>
      </c>
      <c r="DJ35">
        <f>BI44/31</f>
        <v>29739.967741935485</v>
      </c>
      <c r="DX35" t="s">
        <v>181</v>
      </c>
      <c r="DY35">
        <f>BJ44/30</f>
        <v>28530.266666666666</v>
      </c>
    </row>
    <row r="36" spans="1:138" ht="14.5" customHeight="1" thickBot="1" x14ac:dyDescent="0.4">
      <c r="BD36" s="176"/>
      <c r="BE36" s="177"/>
      <c r="BF36" s="8"/>
      <c r="BG36" s="5" t="s">
        <v>164</v>
      </c>
      <c r="BH36" s="5" t="s">
        <v>142</v>
      </c>
      <c r="BI36" s="5" t="s">
        <v>167</v>
      </c>
      <c r="BJ36" s="5" t="s">
        <v>169</v>
      </c>
      <c r="BK36" s="5" t="s">
        <v>173</v>
      </c>
      <c r="BL36" s="5" t="s">
        <v>179</v>
      </c>
      <c r="BM36" s="5" t="s">
        <v>180</v>
      </c>
      <c r="BN36" s="5" t="s">
        <v>183</v>
      </c>
      <c r="BO36" s="5" t="s">
        <v>187</v>
      </c>
      <c r="BP36" s="5" t="s">
        <v>191</v>
      </c>
      <c r="BQ36" s="5" t="s">
        <v>193</v>
      </c>
      <c r="BR36" s="5" t="s">
        <v>195</v>
      </c>
      <c r="CC36" t="s">
        <v>201</v>
      </c>
      <c r="CD36">
        <f>BG6/31</f>
        <v>1470</v>
      </c>
      <c r="CT36" t="s">
        <v>201</v>
      </c>
      <c r="CU36">
        <f>BH6/28</f>
        <v>2097.5</v>
      </c>
      <c r="DI36" t="s">
        <v>201</v>
      </c>
      <c r="DJ36">
        <f>BI6/31</f>
        <v>2958.6774193548385</v>
      </c>
      <c r="DX36" t="s">
        <v>201</v>
      </c>
      <c r="DY36">
        <f>BJ6/30</f>
        <v>1316.6666666666667</v>
      </c>
    </row>
    <row r="37" spans="1:138" ht="15" thickBot="1" x14ac:dyDescent="0.4">
      <c r="BD37" s="4"/>
      <c r="BE37" s="168" t="s">
        <v>53</v>
      </c>
      <c r="BF37" s="5" t="s">
        <v>135</v>
      </c>
      <c r="BG37" s="1">
        <v>309547</v>
      </c>
      <c r="BH37" s="1">
        <v>311330</v>
      </c>
      <c r="BI37" s="1">
        <v>331536</v>
      </c>
      <c r="BJ37" s="1">
        <v>330116</v>
      </c>
      <c r="BK37" s="1">
        <v>159507</v>
      </c>
      <c r="BL37" s="1">
        <v>568622</v>
      </c>
      <c r="BM37" s="1">
        <v>405105</v>
      </c>
      <c r="BN37" s="1">
        <v>424104</v>
      </c>
      <c r="BO37" s="1">
        <v>429286</v>
      </c>
      <c r="BP37" s="1">
        <v>411893</v>
      </c>
      <c r="BQ37" s="1">
        <v>354847</v>
      </c>
      <c r="BR37" s="1">
        <v>333985</v>
      </c>
      <c r="CC37" t="s">
        <v>93</v>
      </c>
      <c r="CD37">
        <f>BG15/31</f>
        <v>6.064516129032258</v>
      </c>
      <c r="CT37" t="s">
        <v>93</v>
      </c>
      <c r="CU37">
        <f>BH15/28</f>
        <v>7.6071428571428568</v>
      </c>
      <c r="DI37" t="s">
        <v>93</v>
      </c>
      <c r="DJ37">
        <f>BI15/31</f>
        <v>8.870967741935484</v>
      </c>
      <c r="DX37" t="s">
        <v>93</v>
      </c>
      <c r="DY37">
        <f>BJ15/30</f>
        <v>10.533333333333333</v>
      </c>
    </row>
    <row r="38" spans="1:138" ht="15" thickBot="1" x14ac:dyDescent="0.4">
      <c r="A38" s="172" t="s">
        <v>132</v>
      </c>
      <c r="B38" s="173"/>
      <c r="C38" s="164" t="s">
        <v>1</v>
      </c>
      <c r="D38" s="158"/>
      <c r="E38" s="158"/>
      <c r="F38" s="158"/>
      <c r="G38" s="158"/>
      <c r="H38" s="158"/>
      <c r="I38" s="158"/>
      <c r="J38" s="158"/>
      <c r="K38" s="158"/>
      <c r="L38" s="158"/>
      <c r="M38" s="158"/>
      <c r="N38" s="158"/>
      <c r="O38" s="158"/>
      <c r="P38" s="158"/>
      <c r="Q38" s="158"/>
      <c r="R38" s="158"/>
      <c r="S38" s="158"/>
      <c r="T38" s="158"/>
      <c r="U38" s="158"/>
      <c r="V38" s="158"/>
      <c r="W38" s="158"/>
      <c r="X38" s="158"/>
      <c r="Y38" s="158"/>
      <c r="Z38" s="158"/>
      <c r="AA38" s="158"/>
      <c r="AB38" s="158"/>
      <c r="AC38" s="158"/>
      <c r="AD38" s="158"/>
      <c r="AE38" s="158"/>
      <c r="AF38" s="158"/>
      <c r="AG38" s="158"/>
      <c r="AH38" s="158"/>
      <c r="AI38" s="158"/>
      <c r="AJ38" s="158"/>
      <c r="AK38" s="3"/>
      <c r="BD38" s="4"/>
      <c r="BE38" s="169"/>
      <c r="BF38" s="5" t="s">
        <v>136</v>
      </c>
      <c r="BG38" s="1">
        <v>7878</v>
      </c>
      <c r="BH38" s="1">
        <v>7805</v>
      </c>
      <c r="BI38" s="1">
        <v>9202</v>
      </c>
      <c r="BJ38" s="1">
        <v>8119</v>
      </c>
      <c r="BK38" s="1">
        <v>0</v>
      </c>
      <c r="BL38" s="1">
        <v>20428</v>
      </c>
      <c r="BM38" s="1">
        <v>11091</v>
      </c>
      <c r="BN38" s="1">
        <v>11608</v>
      </c>
      <c r="BO38" s="1">
        <v>11285</v>
      </c>
      <c r="BP38" s="1">
        <v>11937</v>
      </c>
      <c r="BQ38" s="1">
        <v>10439</v>
      </c>
      <c r="BR38" s="1">
        <v>8516</v>
      </c>
      <c r="CC38" t="s">
        <v>170</v>
      </c>
      <c r="CD38">
        <v>0</v>
      </c>
      <c r="CT38" t="s">
        <v>170</v>
      </c>
      <c r="CU38">
        <v>0</v>
      </c>
      <c r="DI38" t="s">
        <v>170</v>
      </c>
      <c r="DJ38">
        <v>0</v>
      </c>
      <c r="DX38" t="s">
        <v>170</v>
      </c>
      <c r="DY38">
        <v>0</v>
      </c>
    </row>
    <row r="39" spans="1:138" ht="14.5" customHeight="1" thickBot="1" x14ac:dyDescent="0.4">
      <c r="A39" s="174"/>
      <c r="B39" s="175"/>
      <c r="C39" s="8"/>
      <c r="D39" s="178" t="s">
        <v>7</v>
      </c>
      <c r="E39" s="178" t="s">
        <v>8</v>
      </c>
      <c r="F39" s="178" t="s">
        <v>9</v>
      </c>
      <c r="G39" s="178" t="s">
        <v>10</v>
      </c>
      <c r="H39" s="178" t="s">
        <v>11</v>
      </c>
      <c r="I39" s="178" t="s">
        <v>12</v>
      </c>
      <c r="J39" s="178" t="s">
        <v>13</v>
      </c>
      <c r="K39" s="178" t="s">
        <v>14</v>
      </c>
      <c r="L39" s="178" t="s">
        <v>15</v>
      </c>
      <c r="M39" s="178" t="s">
        <v>16</v>
      </c>
      <c r="N39" s="178" t="s">
        <v>17</v>
      </c>
      <c r="O39" s="178" t="s">
        <v>18</v>
      </c>
      <c r="P39" s="178" t="s">
        <v>19</v>
      </c>
      <c r="Q39" s="178" t="s">
        <v>20</v>
      </c>
      <c r="R39" s="178" t="s">
        <v>21</v>
      </c>
      <c r="S39" s="178" t="s">
        <v>22</v>
      </c>
      <c r="T39" s="178" t="s">
        <v>23</v>
      </c>
      <c r="U39" s="178" t="s">
        <v>24</v>
      </c>
      <c r="V39" s="178" t="s">
        <v>25</v>
      </c>
      <c r="W39" s="178" t="s">
        <v>26</v>
      </c>
      <c r="X39" s="178" t="s">
        <v>27</v>
      </c>
      <c r="Y39" s="178" t="s">
        <v>28</v>
      </c>
      <c r="Z39" s="178" t="s">
        <v>29</v>
      </c>
      <c r="AA39" s="178" t="s">
        <v>30</v>
      </c>
      <c r="AB39" s="178" t="s">
        <v>31</v>
      </c>
      <c r="AC39" s="178" t="s">
        <v>32</v>
      </c>
      <c r="AD39" s="178" t="s">
        <v>33</v>
      </c>
      <c r="AE39" s="178" t="s">
        <v>34</v>
      </c>
      <c r="AF39" s="178" t="s">
        <v>35</v>
      </c>
      <c r="AG39" s="178" t="s">
        <v>36</v>
      </c>
      <c r="AH39" s="178" t="s">
        <v>37</v>
      </c>
      <c r="AI39" s="178" t="s">
        <v>38</v>
      </c>
      <c r="AJ39" s="178" t="s">
        <v>39</v>
      </c>
      <c r="AK39" s="178" t="s">
        <v>40</v>
      </c>
      <c r="BD39" s="4"/>
      <c r="BE39" s="169"/>
      <c r="BF39" s="5" t="s">
        <v>113</v>
      </c>
      <c r="BG39" s="1">
        <v>358154</v>
      </c>
      <c r="BH39" s="1">
        <v>370906</v>
      </c>
      <c r="BI39" s="1">
        <v>401285</v>
      </c>
      <c r="BJ39" s="1">
        <v>355527</v>
      </c>
      <c r="BK39" s="1">
        <v>365141</v>
      </c>
      <c r="BL39" s="1">
        <v>372729</v>
      </c>
      <c r="BM39" s="1">
        <v>347823</v>
      </c>
      <c r="BN39" s="1">
        <v>372550</v>
      </c>
      <c r="BO39" s="1">
        <v>385875</v>
      </c>
      <c r="BP39" s="1">
        <v>376965</v>
      </c>
      <c r="BQ39" s="1">
        <v>363894</v>
      </c>
      <c r="BR39" s="1">
        <v>366413</v>
      </c>
      <c r="CC39" t="s">
        <v>172</v>
      </c>
      <c r="CD39">
        <f>BG10/31</f>
        <v>14475.129032258064</v>
      </c>
      <c r="CT39" t="s">
        <v>172</v>
      </c>
      <c r="CU39">
        <f>BH10/28</f>
        <v>10962.321428571429</v>
      </c>
      <c r="DI39" t="s">
        <v>172</v>
      </c>
      <c r="DJ39">
        <f>BI10/31</f>
        <v>19976.387096774193</v>
      </c>
      <c r="DX39" t="s">
        <v>172</v>
      </c>
      <c r="DY39">
        <f>BJ10/30</f>
        <v>18134.2</v>
      </c>
    </row>
    <row r="40" spans="1:138" ht="15" thickBot="1" x14ac:dyDescent="0.4">
      <c r="A40" s="176"/>
      <c r="B40" s="177"/>
      <c r="C40" s="8"/>
      <c r="D40" s="179"/>
      <c r="E40" s="179"/>
      <c r="F40" s="179"/>
      <c r="G40" s="179"/>
      <c r="H40" s="179"/>
      <c r="I40" s="179"/>
      <c r="J40" s="179"/>
      <c r="K40" s="179"/>
      <c r="L40" s="179"/>
      <c r="M40" s="179"/>
      <c r="N40" s="179"/>
      <c r="O40" s="179"/>
      <c r="P40" s="179"/>
      <c r="Q40" s="179"/>
      <c r="R40" s="179"/>
      <c r="S40" s="179"/>
      <c r="T40" s="179"/>
      <c r="U40" s="179"/>
      <c r="V40" s="179"/>
      <c r="W40" s="179"/>
      <c r="X40" s="179"/>
      <c r="Y40" s="179"/>
      <c r="Z40" s="179"/>
      <c r="AA40" s="179"/>
      <c r="AB40" s="179"/>
      <c r="AC40" s="179"/>
      <c r="AD40" s="179"/>
      <c r="AE40" s="179"/>
      <c r="AF40" s="179"/>
      <c r="AG40" s="179"/>
      <c r="AH40" s="179"/>
      <c r="AI40" s="179"/>
      <c r="AJ40" s="179"/>
      <c r="AK40" s="179"/>
      <c r="BD40" s="4"/>
      <c r="BE40" s="169"/>
      <c r="BF40" s="5" t="s">
        <v>137</v>
      </c>
      <c r="BG40" s="1">
        <v>46239</v>
      </c>
      <c r="BH40" s="1">
        <v>39614</v>
      </c>
      <c r="BI40" s="1">
        <v>29657</v>
      </c>
      <c r="BJ40" s="1">
        <v>38174</v>
      </c>
      <c r="BK40" s="1">
        <v>0</v>
      </c>
      <c r="BL40" s="1">
        <v>26480</v>
      </c>
      <c r="BM40" s="1">
        <v>50061</v>
      </c>
      <c r="BN40" s="1">
        <v>28673</v>
      </c>
      <c r="BO40" s="1">
        <v>31965</v>
      </c>
      <c r="BP40" s="1">
        <v>32486</v>
      </c>
      <c r="BQ40" s="1">
        <v>40021</v>
      </c>
      <c r="BR40" s="1">
        <v>41796</v>
      </c>
    </row>
    <row r="41" spans="1:138" ht="15" thickBot="1" x14ac:dyDescent="0.4">
      <c r="A41" s="4"/>
      <c r="B41" s="168" t="s">
        <v>53</v>
      </c>
      <c r="C41" s="5" t="s">
        <v>135</v>
      </c>
      <c r="D41" s="1">
        <v>0</v>
      </c>
      <c r="E41" s="1">
        <v>1450085</v>
      </c>
      <c r="F41" s="1">
        <v>1855149</v>
      </c>
      <c r="G41" s="1">
        <v>978883</v>
      </c>
      <c r="H41" s="1">
        <v>1569187</v>
      </c>
      <c r="I41" s="1">
        <v>1515715</v>
      </c>
      <c r="J41" s="1">
        <v>1475500</v>
      </c>
      <c r="K41" s="1">
        <v>1605656</v>
      </c>
      <c r="L41" s="1">
        <v>1756436</v>
      </c>
      <c r="M41" s="1">
        <v>1999978</v>
      </c>
      <c r="N41" s="1">
        <v>2377393</v>
      </c>
      <c r="O41" s="1">
        <v>2395980</v>
      </c>
      <c r="P41" s="1">
        <v>2629907</v>
      </c>
      <c r="Q41" s="1">
        <v>2729395</v>
      </c>
      <c r="R41" s="1">
        <v>3273929</v>
      </c>
      <c r="S41" s="1">
        <v>3319035</v>
      </c>
      <c r="T41" s="1">
        <v>3511957</v>
      </c>
      <c r="U41" s="1">
        <v>3724740</v>
      </c>
      <c r="V41" s="1">
        <v>3791263</v>
      </c>
      <c r="W41" s="1">
        <v>3998894</v>
      </c>
      <c r="X41" s="1">
        <v>3980881</v>
      </c>
      <c r="Y41" s="1">
        <v>3924140</v>
      </c>
      <c r="Z41" s="1">
        <v>3694112</v>
      </c>
      <c r="AA41" s="1">
        <v>3485513</v>
      </c>
      <c r="AB41" s="1">
        <v>3533394</v>
      </c>
      <c r="AC41" s="1">
        <v>3792194</v>
      </c>
      <c r="AD41" s="1">
        <v>3822848</v>
      </c>
      <c r="AE41" s="1">
        <v>3904470</v>
      </c>
      <c r="AF41" s="1">
        <v>4073913</v>
      </c>
      <c r="AG41" s="1">
        <v>3751594</v>
      </c>
      <c r="AH41" s="1">
        <v>3605648</v>
      </c>
      <c r="AI41" s="1">
        <v>4109284</v>
      </c>
      <c r="AJ41" s="1">
        <v>4369878</v>
      </c>
      <c r="AK41" s="1">
        <v>2786591</v>
      </c>
      <c r="BD41" s="4"/>
      <c r="BE41" s="169"/>
      <c r="BF41" s="5" t="s">
        <v>119</v>
      </c>
      <c r="BG41" s="1">
        <v>40986</v>
      </c>
      <c r="BH41" s="1">
        <v>38383</v>
      </c>
      <c r="BI41" s="1">
        <v>39485</v>
      </c>
      <c r="BJ41" s="1">
        <v>27632</v>
      </c>
      <c r="BK41" s="1">
        <v>6996</v>
      </c>
      <c r="BL41" s="1">
        <v>52628</v>
      </c>
      <c r="BM41" s="1">
        <v>23675</v>
      </c>
      <c r="BN41" s="1">
        <v>29671</v>
      </c>
      <c r="BO41" s="1">
        <v>29287</v>
      </c>
      <c r="BP41" s="1">
        <v>21993</v>
      </c>
      <c r="BQ41" s="1">
        <v>20135</v>
      </c>
      <c r="BR41" s="1">
        <v>12297</v>
      </c>
      <c r="CC41" s="33"/>
      <c r="CD41" t="s">
        <v>154</v>
      </c>
      <c r="CE41" t="s">
        <v>155</v>
      </c>
      <c r="CF41" t="s">
        <v>156</v>
      </c>
      <c r="CG41" t="s">
        <v>157</v>
      </c>
      <c r="CH41" t="s">
        <v>158</v>
      </c>
      <c r="CI41" t="s">
        <v>159</v>
      </c>
      <c r="CJ41" t="s">
        <v>160</v>
      </c>
      <c r="CK41" t="s">
        <v>161</v>
      </c>
      <c r="CL41" t="s">
        <v>162</v>
      </c>
      <c r="CM41" t="s">
        <v>163</v>
      </c>
      <c r="CT41" s="33"/>
      <c r="CU41" t="s">
        <v>154</v>
      </c>
      <c r="CV41" t="s">
        <v>155</v>
      </c>
      <c r="CW41" t="s">
        <v>156</v>
      </c>
      <c r="CX41" t="s">
        <v>157</v>
      </c>
      <c r="CY41" t="s">
        <v>158</v>
      </c>
      <c r="CZ41" t="s">
        <v>159</v>
      </c>
      <c r="DA41" t="s">
        <v>160</v>
      </c>
      <c r="DB41" t="s">
        <v>161</v>
      </c>
      <c r="DC41" t="s">
        <v>162</v>
      </c>
      <c r="DD41" t="s">
        <v>163</v>
      </c>
      <c r="DI41" s="33"/>
      <c r="DJ41" t="s">
        <v>154</v>
      </c>
      <c r="DK41" t="s">
        <v>155</v>
      </c>
      <c r="DL41" t="s">
        <v>156</v>
      </c>
      <c r="DM41" t="s">
        <v>157</v>
      </c>
      <c r="DN41" t="s">
        <v>158</v>
      </c>
      <c r="DO41" t="s">
        <v>159</v>
      </c>
      <c r="DP41" t="s">
        <v>160</v>
      </c>
      <c r="DQ41" t="s">
        <v>161</v>
      </c>
      <c r="DR41" t="s">
        <v>162</v>
      </c>
      <c r="DS41" t="s">
        <v>163</v>
      </c>
      <c r="DX41" s="33"/>
      <c r="DY41" t="s">
        <v>154</v>
      </c>
      <c r="DZ41" t="s">
        <v>155</v>
      </c>
      <c r="EA41" t="s">
        <v>156</v>
      </c>
      <c r="EB41" t="s">
        <v>157</v>
      </c>
      <c r="EC41" t="s">
        <v>158</v>
      </c>
      <c r="ED41" t="s">
        <v>159</v>
      </c>
      <c r="EE41" t="s">
        <v>160</v>
      </c>
      <c r="EF41" t="s">
        <v>161</v>
      </c>
      <c r="EG41" t="s">
        <v>162</v>
      </c>
      <c r="EH41" t="s">
        <v>163</v>
      </c>
    </row>
    <row r="42" spans="1:138" ht="15" thickBot="1" x14ac:dyDescent="0.4">
      <c r="A42" s="4"/>
      <c r="B42" s="169"/>
      <c r="C42" s="5" t="s">
        <v>136</v>
      </c>
      <c r="D42" s="2" t="s">
        <v>57</v>
      </c>
      <c r="E42" s="2" t="s">
        <v>57</v>
      </c>
      <c r="F42" s="2" t="s">
        <v>57</v>
      </c>
      <c r="G42" s="2" t="s">
        <v>57</v>
      </c>
      <c r="H42" s="2" t="s">
        <v>57</v>
      </c>
      <c r="I42" s="2" t="s">
        <v>57</v>
      </c>
      <c r="J42" s="2" t="s">
        <v>57</v>
      </c>
      <c r="K42" s="2" t="s">
        <v>57</v>
      </c>
      <c r="L42" s="2" t="s">
        <v>57</v>
      </c>
      <c r="M42" s="2" t="s">
        <v>57</v>
      </c>
      <c r="N42" s="2" t="s">
        <v>57</v>
      </c>
      <c r="O42" s="2" t="s">
        <v>57</v>
      </c>
      <c r="P42" s="2" t="s">
        <v>57</v>
      </c>
      <c r="Q42" s="2" t="s">
        <v>57</v>
      </c>
      <c r="R42" s="2" t="s">
        <v>57</v>
      </c>
      <c r="S42" s="1">
        <v>45742</v>
      </c>
      <c r="T42" s="1">
        <v>222247</v>
      </c>
      <c r="U42" s="1">
        <v>176030</v>
      </c>
      <c r="V42" s="1">
        <v>177479</v>
      </c>
      <c r="W42" s="1">
        <v>216765</v>
      </c>
      <c r="X42" s="1">
        <v>191679</v>
      </c>
      <c r="Y42" s="1">
        <v>198579</v>
      </c>
      <c r="Z42" s="1">
        <v>136357</v>
      </c>
      <c r="AA42" s="1">
        <v>50959</v>
      </c>
      <c r="AB42" s="1">
        <v>50559</v>
      </c>
      <c r="AC42" s="1">
        <v>116334</v>
      </c>
      <c r="AD42" s="1">
        <v>310264</v>
      </c>
      <c r="AE42" s="1">
        <v>306132</v>
      </c>
      <c r="AF42" s="1">
        <v>300269</v>
      </c>
      <c r="AG42" s="1">
        <v>295514</v>
      </c>
      <c r="AH42" s="1">
        <v>235004</v>
      </c>
      <c r="AI42" s="1">
        <v>242249</v>
      </c>
      <c r="AJ42" s="1">
        <v>118308</v>
      </c>
      <c r="AK42" s="1">
        <v>71314</v>
      </c>
      <c r="BD42" s="4"/>
      <c r="BE42" s="169"/>
      <c r="BF42" s="5" t="s">
        <v>138</v>
      </c>
      <c r="BG42" s="1">
        <v>0</v>
      </c>
      <c r="BH42" s="1">
        <v>0</v>
      </c>
      <c r="BI42" s="1">
        <v>0</v>
      </c>
      <c r="BJ42" s="1">
        <v>7</v>
      </c>
      <c r="BK42" s="1">
        <v>0</v>
      </c>
      <c r="BL42" s="1">
        <v>0</v>
      </c>
      <c r="BM42" s="1">
        <v>0</v>
      </c>
      <c r="BN42" s="1">
        <v>10</v>
      </c>
      <c r="BO42" s="1">
        <v>0</v>
      </c>
      <c r="BP42" s="1">
        <v>10</v>
      </c>
      <c r="BQ42" s="1">
        <v>8</v>
      </c>
      <c r="BR42" s="1">
        <v>0</v>
      </c>
      <c r="CC42" s="33" t="s">
        <v>181</v>
      </c>
      <c r="CD42">
        <v>8.1081081081081086E-2</v>
      </c>
      <c r="CE42">
        <v>7.4324324324324342E-2</v>
      </c>
      <c r="CF42">
        <v>7.4324324324324342E-2</v>
      </c>
      <c r="CG42">
        <v>8.1081081081081086E-2</v>
      </c>
      <c r="CH42">
        <v>0.10810810810810813</v>
      </c>
      <c r="CI42">
        <v>0.10810810810810813</v>
      </c>
      <c r="CJ42">
        <v>0.10135135135135136</v>
      </c>
      <c r="CK42">
        <v>0.10135135135135136</v>
      </c>
      <c r="CL42">
        <v>0.13513513513513514</v>
      </c>
      <c r="CM42">
        <v>0.13513513513513514</v>
      </c>
      <c r="CT42" s="33" t="s">
        <v>181</v>
      </c>
      <c r="CU42">
        <v>8.3333333333333329E-2</v>
      </c>
      <c r="CV42">
        <v>7.6388888888888895E-2</v>
      </c>
      <c r="CW42">
        <v>7.6388888888888895E-2</v>
      </c>
      <c r="CX42">
        <v>8.3333333333333329E-2</v>
      </c>
      <c r="CY42">
        <v>0.10416666666666666</v>
      </c>
      <c r="CZ42">
        <v>0.10416666666666666</v>
      </c>
      <c r="DA42">
        <v>9.722222222222221E-2</v>
      </c>
      <c r="DB42">
        <v>9.722222222222221E-2</v>
      </c>
      <c r="DC42">
        <v>0.1388888888888889</v>
      </c>
      <c r="DD42">
        <v>0.1388888888888889</v>
      </c>
      <c r="DI42" s="33" t="s">
        <v>181</v>
      </c>
      <c r="DJ42">
        <v>8.6330935251798538E-2</v>
      </c>
      <c r="DK42">
        <v>7.9136690647482008E-2</v>
      </c>
      <c r="DL42">
        <v>7.9136690647482008E-2</v>
      </c>
      <c r="DM42">
        <v>8.6330935251798538E-2</v>
      </c>
      <c r="DN42">
        <v>0.10791366906474818</v>
      </c>
      <c r="DO42">
        <v>0.10071942446043164</v>
      </c>
      <c r="DP42">
        <v>9.3525179856115095E-2</v>
      </c>
      <c r="DQ42">
        <v>9.3525179856115095E-2</v>
      </c>
      <c r="DR42">
        <v>0.1438848920863309</v>
      </c>
      <c r="DS42">
        <v>0.12949640287769781</v>
      </c>
      <c r="DX42" s="33" t="s">
        <v>181</v>
      </c>
      <c r="DY42">
        <v>8.8560885608856083E-2</v>
      </c>
      <c r="DZ42">
        <v>8.1180811808118078E-2</v>
      </c>
      <c r="EA42">
        <v>8.1180811808118078E-2</v>
      </c>
      <c r="EB42">
        <v>8.8560885608856083E-2</v>
      </c>
      <c r="EC42">
        <v>0.1070110701107011</v>
      </c>
      <c r="ED42">
        <v>0.10332103321033209</v>
      </c>
      <c r="EE42">
        <v>9.5940959409594101E-2</v>
      </c>
      <c r="EF42">
        <v>9.5940959409594101E-2</v>
      </c>
      <c r="EG42">
        <v>0.13284132841328414</v>
      </c>
      <c r="EH42">
        <v>0.12546125461254612</v>
      </c>
    </row>
    <row r="43" spans="1:138" ht="15" thickBot="1" x14ac:dyDescent="0.4">
      <c r="A43" s="4"/>
      <c r="B43" s="169"/>
      <c r="C43" s="5" t="s">
        <v>113</v>
      </c>
      <c r="D43" s="1">
        <v>0</v>
      </c>
      <c r="E43" s="1">
        <v>2773879</v>
      </c>
      <c r="F43" s="1">
        <v>3809896</v>
      </c>
      <c r="G43" s="1">
        <v>3898806</v>
      </c>
      <c r="H43" s="1">
        <v>2712471</v>
      </c>
      <c r="I43" s="1">
        <v>2533832</v>
      </c>
      <c r="J43" s="1">
        <v>2613694</v>
      </c>
      <c r="K43" s="1">
        <v>2730138</v>
      </c>
      <c r="L43" s="1">
        <v>2912110</v>
      </c>
      <c r="M43" s="1">
        <v>3126694</v>
      </c>
      <c r="N43" s="1">
        <v>3265344</v>
      </c>
      <c r="O43" s="1">
        <v>3253477</v>
      </c>
      <c r="P43" s="1">
        <v>3599310</v>
      </c>
      <c r="Q43" s="1">
        <v>3808613</v>
      </c>
      <c r="R43" s="1">
        <v>4036775</v>
      </c>
      <c r="S43" s="1">
        <v>4218973</v>
      </c>
      <c r="T43" s="1">
        <v>4236588</v>
      </c>
      <c r="U43" s="1">
        <v>4460860</v>
      </c>
      <c r="V43" s="1">
        <v>4475938</v>
      </c>
      <c r="W43" s="1">
        <v>4491945</v>
      </c>
      <c r="X43" s="1">
        <v>4688801</v>
      </c>
      <c r="Y43" s="1">
        <v>4527883</v>
      </c>
      <c r="Z43" s="1">
        <v>4127890</v>
      </c>
      <c r="AA43" s="1">
        <v>4126799</v>
      </c>
      <c r="AB43" s="1">
        <v>4068168</v>
      </c>
      <c r="AC43" s="1">
        <v>3968633</v>
      </c>
      <c r="AD43" s="1">
        <v>4010754</v>
      </c>
      <c r="AE43" s="1">
        <v>3971231</v>
      </c>
      <c r="AF43" s="1">
        <v>3972432</v>
      </c>
      <c r="AG43" s="1">
        <v>4038254</v>
      </c>
      <c r="AH43" s="1">
        <v>4109457</v>
      </c>
      <c r="AI43" s="1">
        <v>4414796</v>
      </c>
      <c r="AJ43" s="1">
        <v>4437262</v>
      </c>
      <c r="AK43" s="1">
        <v>3059330</v>
      </c>
      <c r="BD43" s="4"/>
      <c r="BE43" s="170"/>
      <c r="BF43" s="5" t="s">
        <v>139</v>
      </c>
      <c r="BG43" s="1">
        <v>104801</v>
      </c>
      <c r="BH43" s="1">
        <v>101560</v>
      </c>
      <c r="BI43" s="1">
        <v>110774</v>
      </c>
      <c r="BJ43" s="1">
        <v>96333</v>
      </c>
      <c r="BK43" s="1">
        <v>5605</v>
      </c>
      <c r="BL43" s="1">
        <v>214898</v>
      </c>
      <c r="BM43" s="1">
        <v>100461</v>
      </c>
      <c r="BN43" s="1">
        <v>112309</v>
      </c>
      <c r="BO43" s="1">
        <v>110981</v>
      </c>
      <c r="BP43" s="1">
        <v>109282</v>
      </c>
      <c r="BQ43" s="1">
        <v>106880</v>
      </c>
      <c r="BR43" s="1">
        <v>109200</v>
      </c>
      <c r="CC43" s="33" t="s">
        <v>181</v>
      </c>
      <c r="CD43">
        <f>$CD$35*CD42</f>
        <v>2269.2371403661728</v>
      </c>
      <c r="CE43">
        <f t="shared" ref="CE43:CM43" si="15">$CD$35*CE42</f>
        <v>2080.1340453356588</v>
      </c>
      <c r="CF43">
        <f t="shared" si="15"/>
        <v>2080.1340453356588</v>
      </c>
      <c r="CG43">
        <f t="shared" si="15"/>
        <v>2269.2371403661728</v>
      </c>
      <c r="CH43">
        <f t="shared" si="15"/>
        <v>3025.6495204882308</v>
      </c>
      <c r="CI43">
        <f t="shared" si="15"/>
        <v>3025.6495204882308</v>
      </c>
      <c r="CJ43">
        <f t="shared" si="15"/>
        <v>2836.5464254577159</v>
      </c>
      <c r="CK43">
        <f t="shared" si="15"/>
        <v>2836.5464254577159</v>
      </c>
      <c r="CL43">
        <f t="shared" si="15"/>
        <v>3782.0619006102879</v>
      </c>
      <c r="CM43">
        <f t="shared" si="15"/>
        <v>3782.0619006102879</v>
      </c>
      <c r="CO43" s="63"/>
      <c r="CT43" s="33" t="s">
        <v>181</v>
      </c>
      <c r="CU43">
        <f>$CU$35*CU42</f>
        <v>2588.0892857142853</v>
      </c>
      <c r="CV43">
        <f t="shared" ref="CV43:DD43" si="16">$CU$35*CV42</f>
        <v>2372.4151785714289</v>
      </c>
      <c r="CW43">
        <f t="shared" si="16"/>
        <v>2372.4151785714289</v>
      </c>
      <c r="CX43">
        <f t="shared" si="16"/>
        <v>2588.0892857142853</v>
      </c>
      <c r="CY43">
        <f t="shared" si="16"/>
        <v>3235.1116071428569</v>
      </c>
      <c r="CZ43">
        <f t="shared" si="16"/>
        <v>3235.1116071428569</v>
      </c>
      <c r="DA43">
        <f t="shared" si="16"/>
        <v>3019.4374999999995</v>
      </c>
      <c r="DB43">
        <f t="shared" si="16"/>
        <v>3019.4374999999995</v>
      </c>
      <c r="DC43">
        <f t="shared" si="16"/>
        <v>4313.4821428571431</v>
      </c>
      <c r="DD43">
        <f t="shared" si="16"/>
        <v>4313.4821428571431</v>
      </c>
      <c r="DI43" s="33" t="s">
        <v>181</v>
      </c>
      <c r="DJ43">
        <f>$DJ$35*DJ42</f>
        <v>2567.4792295196094</v>
      </c>
      <c r="DK43">
        <f t="shared" ref="DK43:DS43" si="17">$DJ$35*DK42</f>
        <v>2353.5226270596427</v>
      </c>
      <c r="DL43">
        <f t="shared" si="17"/>
        <v>2353.5226270596427</v>
      </c>
      <c r="DM43">
        <f t="shared" si="17"/>
        <v>2567.4792295196094</v>
      </c>
      <c r="DN43">
        <f t="shared" si="17"/>
        <v>3209.3490368995122</v>
      </c>
      <c r="DO43">
        <f t="shared" si="17"/>
        <v>2995.3924344395446</v>
      </c>
      <c r="DP43">
        <f t="shared" si="17"/>
        <v>2781.4358319795774</v>
      </c>
      <c r="DQ43">
        <f t="shared" si="17"/>
        <v>2781.4358319795774</v>
      </c>
      <c r="DR43">
        <f t="shared" si="17"/>
        <v>4279.1320491993492</v>
      </c>
      <c r="DS43">
        <f t="shared" si="17"/>
        <v>3851.2188442794145</v>
      </c>
      <c r="DX43" s="33" t="s">
        <v>181</v>
      </c>
      <c r="DY43">
        <f>$DY$35*DY42</f>
        <v>2526.6656826568264</v>
      </c>
      <c r="DZ43">
        <f t="shared" ref="DZ43:EH43" si="18">$DY$35*DZ42</f>
        <v>2316.1102091020907</v>
      </c>
      <c r="EA43">
        <f t="shared" si="18"/>
        <v>2316.1102091020907</v>
      </c>
      <c r="EB43">
        <f t="shared" si="18"/>
        <v>2526.6656826568264</v>
      </c>
      <c r="EC43">
        <f t="shared" si="18"/>
        <v>3053.0543665436653</v>
      </c>
      <c r="ED43">
        <f t="shared" si="18"/>
        <v>2947.7766297662974</v>
      </c>
      <c r="EE43">
        <f t="shared" si="18"/>
        <v>2737.2211562115622</v>
      </c>
      <c r="EF43">
        <f t="shared" si="18"/>
        <v>2737.2211562115622</v>
      </c>
      <c r="EG43">
        <f t="shared" si="18"/>
        <v>3789.9985239852399</v>
      </c>
      <c r="EH43">
        <f t="shared" si="18"/>
        <v>3579.4430504305042</v>
      </c>
    </row>
    <row r="44" spans="1:138" ht="15" thickBot="1" x14ac:dyDescent="0.4">
      <c r="A44" s="4"/>
      <c r="B44" s="169"/>
      <c r="C44" s="5" t="s">
        <v>137</v>
      </c>
      <c r="D44" s="1">
        <v>0</v>
      </c>
      <c r="E44" s="1">
        <v>194136</v>
      </c>
      <c r="F44" s="1">
        <v>196040</v>
      </c>
      <c r="G44" s="1">
        <v>530738</v>
      </c>
      <c r="H44" s="1">
        <v>438449</v>
      </c>
      <c r="I44" s="1">
        <v>523875</v>
      </c>
      <c r="J44" s="1">
        <v>559888</v>
      </c>
      <c r="K44" s="1">
        <v>525927</v>
      </c>
      <c r="L44" s="1">
        <v>597105</v>
      </c>
      <c r="M44" s="1">
        <v>696188</v>
      </c>
      <c r="N44" s="1">
        <v>765952</v>
      </c>
      <c r="O44" s="1">
        <v>715443</v>
      </c>
      <c r="P44" s="1">
        <v>775462</v>
      </c>
      <c r="Q44" s="1">
        <v>760396</v>
      </c>
      <c r="R44" s="1">
        <v>807932</v>
      </c>
      <c r="S44" s="1">
        <v>820451</v>
      </c>
      <c r="T44" s="1">
        <v>933844</v>
      </c>
      <c r="U44" s="1">
        <v>955607</v>
      </c>
      <c r="V44" s="1">
        <v>1005774</v>
      </c>
      <c r="W44" s="1">
        <v>1032726</v>
      </c>
      <c r="X44" s="1">
        <v>1044611</v>
      </c>
      <c r="Y44" s="1">
        <v>1029812</v>
      </c>
      <c r="Z44" s="1">
        <v>915078</v>
      </c>
      <c r="AA44" s="1">
        <v>830845</v>
      </c>
      <c r="AB44" s="1">
        <v>814671</v>
      </c>
      <c r="AC44" s="1">
        <v>792572</v>
      </c>
      <c r="AD44" s="1">
        <v>797375</v>
      </c>
      <c r="AE44" s="1">
        <v>797146</v>
      </c>
      <c r="AF44" s="1">
        <v>778591</v>
      </c>
      <c r="AG44" s="1">
        <v>691697</v>
      </c>
      <c r="AH44" s="1">
        <v>580739</v>
      </c>
      <c r="AI44" s="1">
        <v>509541</v>
      </c>
      <c r="AJ44" s="1">
        <v>405166</v>
      </c>
      <c r="AK44" s="1">
        <v>234707</v>
      </c>
      <c r="BD44" s="6"/>
      <c r="BE44" s="158" t="s">
        <v>87</v>
      </c>
      <c r="BF44" s="159"/>
      <c r="BG44" s="7">
        <v>867605</v>
      </c>
      <c r="BH44" s="7">
        <v>869598</v>
      </c>
      <c r="BI44" s="7">
        <v>921939</v>
      </c>
      <c r="BJ44" s="7">
        <v>855908</v>
      </c>
      <c r="BK44" s="7">
        <v>537249</v>
      </c>
      <c r="BL44" s="7">
        <v>1255785</v>
      </c>
      <c r="BM44" s="7">
        <v>938216</v>
      </c>
      <c r="BN44" s="7">
        <v>978925</v>
      </c>
      <c r="BO44" s="7">
        <v>998679</v>
      </c>
      <c r="BP44" s="7">
        <v>964566</v>
      </c>
      <c r="BQ44" s="7">
        <v>896224</v>
      </c>
      <c r="BR44" s="7">
        <v>872207</v>
      </c>
      <c r="CC44" s="33" t="s">
        <v>184</v>
      </c>
      <c r="CD44">
        <v>7.4657935018951752E-2</v>
      </c>
      <c r="CE44">
        <v>8.1075774645219992E-2</v>
      </c>
      <c r="CF44">
        <v>0.11872967269772791</v>
      </c>
      <c r="CG44">
        <v>7.9929120165246531E-2</v>
      </c>
      <c r="CH44">
        <v>0.1388849199665988</v>
      </c>
      <c r="CI44">
        <v>9.5549583288503492E-2</v>
      </c>
      <c r="CJ44">
        <v>8.7648304485012943E-2</v>
      </c>
      <c r="CK44">
        <v>0.12139753745449966</v>
      </c>
      <c r="CL44">
        <v>8.1487290222716599E-2</v>
      </c>
      <c r="CM44">
        <v>0.1206398620555223</v>
      </c>
      <c r="CO44" s="63"/>
      <c r="CT44" s="33" t="s">
        <v>184</v>
      </c>
      <c r="CU44">
        <v>8.0345500386932805E-2</v>
      </c>
      <c r="CV44">
        <v>8.3282301927818297E-2</v>
      </c>
      <c r="CW44">
        <v>0.11474534197338968</v>
      </c>
      <c r="CX44">
        <v>7.3663926745629632E-2</v>
      </c>
      <c r="CY44">
        <v>0.11845534186065423</v>
      </c>
      <c r="CZ44">
        <v>8.9806917743287112E-2</v>
      </c>
      <c r="DA44">
        <v>9.2714259505620358E-2</v>
      </c>
      <c r="DB44">
        <v>0.13130173569421977</v>
      </c>
      <c r="DC44">
        <v>8.3336874941375552E-2</v>
      </c>
      <c r="DD44">
        <v>0.13234779922107265</v>
      </c>
      <c r="DI44" s="33" t="s">
        <v>184</v>
      </c>
      <c r="DJ44">
        <v>7.4843926383804507E-2</v>
      </c>
      <c r="DK44">
        <v>7.8719375100528247E-2</v>
      </c>
      <c r="DL44">
        <v>0.11987996414211907</v>
      </c>
      <c r="DM44">
        <v>8.457177305182921E-2</v>
      </c>
      <c r="DN44">
        <v>0.13863440643671709</v>
      </c>
      <c r="DO44">
        <v>9.8281911738458114E-2</v>
      </c>
      <c r="DP44">
        <v>9.7798757198093597E-2</v>
      </c>
      <c r="DQ44">
        <v>0.12711513568828553</v>
      </c>
      <c r="DR44">
        <v>6.9680246081554792E-2</v>
      </c>
      <c r="DS44">
        <v>0.11047450417860982</v>
      </c>
      <c r="DU44" s="63"/>
      <c r="DX44" s="33" t="s">
        <v>184</v>
      </c>
      <c r="DY44">
        <v>7.1557579692083303E-2</v>
      </c>
      <c r="DZ44">
        <v>7.3170747131171165E-2</v>
      </c>
      <c r="EA44">
        <v>0.11552946964353078</v>
      </c>
      <c r="EB44">
        <v>8.2832198217374892E-2</v>
      </c>
      <c r="EC44">
        <v>0.13713467899805662</v>
      </c>
      <c r="ED44">
        <v>9.5412797782384151E-2</v>
      </c>
      <c r="EE44">
        <v>9.7051593348614698E-2</v>
      </c>
      <c r="EF44">
        <v>0.13918282237865268</v>
      </c>
      <c r="EG44">
        <v>7.829496733347488E-2</v>
      </c>
      <c r="EH44">
        <v>0.10983314547465674</v>
      </c>
    </row>
    <row r="45" spans="1:138" ht="15" thickBot="1" x14ac:dyDescent="0.4">
      <c r="A45" s="4"/>
      <c r="B45" s="169"/>
      <c r="C45" s="5" t="s">
        <v>119</v>
      </c>
      <c r="D45" s="1">
        <v>0</v>
      </c>
      <c r="E45" s="1">
        <v>266745</v>
      </c>
      <c r="F45" s="1">
        <v>368350</v>
      </c>
      <c r="G45" s="1">
        <v>334954</v>
      </c>
      <c r="H45" s="1">
        <v>140247</v>
      </c>
      <c r="I45" s="1">
        <v>301904</v>
      </c>
      <c r="J45" s="1">
        <v>261374</v>
      </c>
      <c r="K45" s="1">
        <v>296340</v>
      </c>
      <c r="L45" s="1">
        <v>284101</v>
      </c>
      <c r="M45" s="1">
        <v>297538</v>
      </c>
      <c r="N45" s="1">
        <v>303629</v>
      </c>
      <c r="O45" s="1">
        <v>295192</v>
      </c>
      <c r="P45" s="1">
        <v>244892</v>
      </c>
      <c r="Q45" s="1">
        <v>150776</v>
      </c>
      <c r="R45" s="1">
        <v>146552</v>
      </c>
      <c r="S45" s="1">
        <v>213677</v>
      </c>
      <c r="T45" s="1">
        <v>304701</v>
      </c>
      <c r="U45" s="1">
        <v>331469</v>
      </c>
      <c r="V45" s="1">
        <v>298516</v>
      </c>
      <c r="W45" s="1">
        <v>380888</v>
      </c>
      <c r="X45" s="1">
        <v>383369</v>
      </c>
      <c r="Y45" s="1">
        <v>311285</v>
      </c>
      <c r="Z45" s="1">
        <v>301179</v>
      </c>
      <c r="AA45" s="1">
        <v>275369</v>
      </c>
      <c r="AB45" s="1">
        <v>264158</v>
      </c>
      <c r="AC45" s="1">
        <v>433345</v>
      </c>
      <c r="AD45" s="1">
        <v>424457</v>
      </c>
      <c r="AE45" s="1">
        <v>521735</v>
      </c>
      <c r="AF45" s="1">
        <v>391435</v>
      </c>
      <c r="AG45" s="1">
        <v>405724</v>
      </c>
      <c r="AH45" s="1">
        <v>448994</v>
      </c>
      <c r="AI45" s="1">
        <v>477901</v>
      </c>
      <c r="AJ45" s="1">
        <v>343168</v>
      </c>
      <c r="AK45" s="1">
        <v>124300</v>
      </c>
      <c r="BD45" s="8"/>
      <c r="BE45" s="9"/>
      <c r="BF45" s="9"/>
      <c r="BG45" s="9"/>
      <c r="BH45" s="9"/>
      <c r="BI45" s="9"/>
      <c r="CC45" s="33" t="s">
        <v>185</v>
      </c>
      <c r="CD45">
        <f>$CD$36*CD44</f>
        <v>109.74716447785907</v>
      </c>
      <c r="CE45">
        <f t="shared" ref="CE45:CM45" si="19">$CD$36*CE44</f>
        <v>119.18138872847339</v>
      </c>
      <c r="CF45">
        <f t="shared" si="19"/>
        <v>174.53261886566003</v>
      </c>
      <c r="CG45">
        <f t="shared" si="19"/>
        <v>117.4958066429124</v>
      </c>
      <c r="CH45">
        <f t="shared" si="19"/>
        <v>204.16083235090022</v>
      </c>
      <c r="CI45">
        <f t="shared" si="19"/>
        <v>140.45788743410014</v>
      </c>
      <c r="CJ45">
        <f t="shared" si="19"/>
        <v>128.84300759296903</v>
      </c>
      <c r="CK45">
        <f t="shared" si="19"/>
        <v>178.45438005811451</v>
      </c>
      <c r="CL45">
        <f t="shared" si="19"/>
        <v>119.7863166273934</v>
      </c>
      <c r="CM45">
        <f t="shared" si="19"/>
        <v>177.34059722161777</v>
      </c>
      <c r="CO45" s="63"/>
      <c r="CT45" s="33" t="s">
        <v>185</v>
      </c>
      <c r="CU45">
        <f>$CU$36*CU44</f>
        <v>168.52468706159155</v>
      </c>
      <c r="CV45">
        <f t="shared" ref="CV45:DD45" si="20">$CU$36*CV44</f>
        <v>174.68462829359888</v>
      </c>
      <c r="CW45">
        <f t="shared" si="20"/>
        <v>240.67835478918485</v>
      </c>
      <c r="CX45">
        <f t="shared" si="20"/>
        <v>154.51008634895814</v>
      </c>
      <c r="CY45">
        <f t="shared" si="20"/>
        <v>248.46007955272225</v>
      </c>
      <c r="CZ45">
        <f t="shared" si="20"/>
        <v>188.37000996654473</v>
      </c>
      <c r="DA45">
        <f t="shared" si="20"/>
        <v>194.46815931303871</v>
      </c>
      <c r="DB45">
        <f t="shared" si="20"/>
        <v>275.40539061862597</v>
      </c>
      <c r="DC45">
        <f t="shared" si="20"/>
        <v>174.79909518953522</v>
      </c>
      <c r="DD45">
        <f t="shared" si="20"/>
        <v>277.59950886619987</v>
      </c>
      <c r="DI45" s="33" t="s">
        <v>185</v>
      </c>
      <c r="DJ45">
        <f>$DJ$36*DJ44</f>
        <v>221.43903496761823</v>
      </c>
      <c r="DK45">
        <f t="shared" ref="DK45:DS45" si="21">$DJ$36*DK44</f>
        <v>232.90523757565646</v>
      </c>
      <c r="DL45">
        <f t="shared" si="21"/>
        <v>354.68614294035541</v>
      </c>
      <c r="DM45">
        <f t="shared" si="21"/>
        <v>250.22059524324914</v>
      </c>
      <c r="DN45">
        <f t="shared" si="21"/>
        <v>410.17448786997596</v>
      </c>
      <c r="DO45">
        <f t="shared" si="21"/>
        <v>290.78447299160126</v>
      </c>
      <c r="DP45">
        <f t="shared" si="21"/>
        <v>289.35497456296599</v>
      </c>
      <c r="DQ45">
        <f t="shared" si="21"/>
        <v>376.09268161915679</v>
      </c>
      <c r="DR45">
        <f t="shared" si="21"/>
        <v>206.16137065658464</v>
      </c>
      <c r="DS45">
        <f t="shared" si="21"/>
        <v>326.85842092767462</v>
      </c>
      <c r="DX45" s="33" t="s">
        <v>185</v>
      </c>
      <c r="DY45">
        <f>$DY$36*DY44</f>
        <v>94.217479927909693</v>
      </c>
      <c r="DZ45">
        <f t="shared" ref="DZ45:EH45" si="22">$DY$36*DZ44</f>
        <v>96.341483722708702</v>
      </c>
      <c r="EA45">
        <f t="shared" si="22"/>
        <v>152.11380169731552</v>
      </c>
      <c r="EB45">
        <f t="shared" si="22"/>
        <v>109.06239431954361</v>
      </c>
      <c r="EC45">
        <f t="shared" si="22"/>
        <v>180.56066068077456</v>
      </c>
      <c r="ED45">
        <f t="shared" si="22"/>
        <v>125.62685041347247</v>
      </c>
      <c r="EE45">
        <f t="shared" si="22"/>
        <v>127.78459790900936</v>
      </c>
      <c r="EF45">
        <f t="shared" si="22"/>
        <v>183.25738279855938</v>
      </c>
      <c r="EG45">
        <f t="shared" si="22"/>
        <v>103.08837365574193</v>
      </c>
      <c r="EH45">
        <f t="shared" si="22"/>
        <v>144.61364154163138</v>
      </c>
    </row>
    <row r="46" spans="1:138" ht="15" thickBot="1" x14ac:dyDescent="0.4">
      <c r="A46" s="4"/>
      <c r="B46" s="169"/>
      <c r="C46" s="5" t="s">
        <v>138</v>
      </c>
      <c r="D46" s="2" t="s">
        <v>57</v>
      </c>
      <c r="E46" s="2" t="s">
        <v>57</v>
      </c>
      <c r="F46" s="2" t="s">
        <v>57</v>
      </c>
      <c r="G46" s="2" t="s">
        <v>57</v>
      </c>
      <c r="H46" s="2" t="s">
        <v>57</v>
      </c>
      <c r="I46" s="2" t="s">
        <v>57</v>
      </c>
      <c r="J46" s="2" t="s">
        <v>57</v>
      </c>
      <c r="K46" s="2" t="s">
        <v>57</v>
      </c>
      <c r="L46" s="2" t="s">
        <v>57</v>
      </c>
      <c r="M46" s="2" t="s">
        <v>57</v>
      </c>
      <c r="N46" s="2" t="s">
        <v>57</v>
      </c>
      <c r="O46" s="2" t="s">
        <v>57</v>
      </c>
      <c r="P46" s="2" t="s">
        <v>57</v>
      </c>
      <c r="Q46" s="2" t="s">
        <v>57</v>
      </c>
      <c r="R46" s="2" t="s">
        <v>57</v>
      </c>
      <c r="S46" s="2" t="s">
        <v>57</v>
      </c>
      <c r="T46" s="2" t="s">
        <v>57</v>
      </c>
      <c r="U46" s="2" t="s">
        <v>57</v>
      </c>
      <c r="V46" s="2" t="s">
        <v>57</v>
      </c>
      <c r="W46" s="2" t="s">
        <v>57</v>
      </c>
      <c r="X46" s="2" t="s">
        <v>57</v>
      </c>
      <c r="Y46" s="2" t="s">
        <v>57</v>
      </c>
      <c r="Z46" s="2" t="s">
        <v>57</v>
      </c>
      <c r="AA46" s="2" t="s">
        <v>57</v>
      </c>
      <c r="AB46" s="2" t="s">
        <v>57</v>
      </c>
      <c r="AC46" s="2" t="s">
        <v>57</v>
      </c>
      <c r="AD46" s="2" t="s">
        <v>57</v>
      </c>
      <c r="AE46" s="2" t="s">
        <v>57</v>
      </c>
      <c r="AF46" s="2" t="s">
        <v>57</v>
      </c>
      <c r="AG46" s="2" t="s">
        <v>57</v>
      </c>
      <c r="AH46" s="2" t="s">
        <v>57</v>
      </c>
      <c r="AI46" s="1">
        <v>102</v>
      </c>
      <c r="AJ46" s="1">
        <v>35</v>
      </c>
      <c r="AK46" s="1">
        <v>0</v>
      </c>
      <c r="BI46" s="8"/>
      <c r="CC46" s="33" t="s">
        <v>93</v>
      </c>
      <c r="CD46">
        <v>1.7829072544751903E-7</v>
      </c>
      <c r="CE46">
        <v>2.1757477009680893E-7</v>
      </c>
      <c r="CF46">
        <v>1.2389666757922847E-7</v>
      </c>
      <c r="CG46">
        <v>2.3207966109195814E-6</v>
      </c>
      <c r="CH46">
        <v>0.15954275056723571</v>
      </c>
      <c r="CI46">
        <v>0.26240855765139226</v>
      </c>
      <c r="CJ46">
        <v>0.30085964801852333</v>
      </c>
      <c r="CK46">
        <v>0.27443663084783759</v>
      </c>
      <c r="CL46">
        <v>2.7494121969204267E-3</v>
      </c>
      <c r="CM46">
        <v>1.6015931661797272E-7</v>
      </c>
      <c r="CT46" s="33" t="s">
        <v>93</v>
      </c>
      <c r="CU46">
        <v>1.199241737946649E-7</v>
      </c>
      <c r="CV46">
        <v>1.1174709786890969E-7</v>
      </c>
      <c r="CW46">
        <v>2.2622048297229263E-7</v>
      </c>
      <c r="CX46">
        <v>9.4459243923463633E-5</v>
      </c>
      <c r="CY46">
        <v>0.2071680095949533</v>
      </c>
      <c r="CZ46">
        <v>0.27145834679059944</v>
      </c>
      <c r="DA46">
        <v>0.25871404851377799</v>
      </c>
      <c r="DB46">
        <v>0.25254417853245076</v>
      </c>
      <c r="DC46">
        <v>1.0020352253187134E-2</v>
      </c>
      <c r="DD46">
        <v>1.4717935355868854E-7</v>
      </c>
      <c r="DI46" s="33" t="s">
        <v>93</v>
      </c>
      <c r="DJ46">
        <v>3.3469754944931959E-7</v>
      </c>
      <c r="DK46">
        <v>4.4438933209937627E-7</v>
      </c>
      <c r="DL46">
        <v>2.1375691709837321E-7</v>
      </c>
      <c r="DM46">
        <v>6.4545561608150941E-3</v>
      </c>
      <c r="DN46">
        <v>0.24155567100698</v>
      </c>
      <c r="DO46">
        <v>0.22089651860894199</v>
      </c>
      <c r="DP46">
        <v>0.2079135251555615</v>
      </c>
      <c r="DQ46">
        <v>0.29506934034291366</v>
      </c>
      <c r="DR46">
        <v>2.8108602730495327E-2</v>
      </c>
      <c r="DS46">
        <v>7.9315049398952906E-7</v>
      </c>
      <c r="DX46" s="33" t="s">
        <v>93</v>
      </c>
      <c r="DY46">
        <v>4.0976287965522181E-7</v>
      </c>
      <c r="DZ46">
        <v>3.5761111038597167E-7</v>
      </c>
      <c r="EA46">
        <v>9.2879562214442918E-7</v>
      </c>
      <c r="EB46">
        <v>2.9866915049055472E-2</v>
      </c>
      <c r="EC46">
        <v>0.25311978627498399</v>
      </c>
      <c r="ED46">
        <v>0.18568986709207488</v>
      </c>
      <c r="EE46">
        <v>0.18786093902879061</v>
      </c>
      <c r="EF46">
        <v>0.29469237838479007</v>
      </c>
      <c r="EG46">
        <v>4.8625758485114579E-2</v>
      </c>
      <c r="EH46">
        <v>1.426595155782942E-4</v>
      </c>
    </row>
    <row r="47" spans="1:138" ht="15" thickBot="1" x14ac:dyDescent="0.4">
      <c r="A47" s="4"/>
      <c r="B47" s="170"/>
      <c r="C47" s="5" t="s">
        <v>139</v>
      </c>
      <c r="D47" s="1">
        <v>0</v>
      </c>
      <c r="E47" s="1">
        <v>453460</v>
      </c>
      <c r="F47" s="1">
        <v>455425</v>
      </c>
      <c r="G47" s="1">
        <v>424961</v>
      </c>
      <c r="H47" s="1">
        <v>303993</v>
      </c>
      <c r="I47" s="1">
        <v>301762</v>
      </c>
      <c r="J47" s="1">
        <v>438626</v>
      </c>
      <c r="K47" s="1">
        <v>443952</v>
      </c>
      <c r="L47" s="1">
        <v>448407</v>
      </c>
      <c r="M47" s="1">
        <v>514908</v>
      </c>
      <c r="N47" s="1">
        <v>570485</v>
      </c>
      <c r="O47" s="1">
        <v>596705</v>
      </c>
      <c r="P47" s="1">
        <v>664517</v>
      </c>
      <c r="Q47" s="1">
        <v>774685</v>
      </c>
      <c r="R47" s="1">
        <v>783706</v>
      </c>
      <c r="S47" s="1">
        <v>921167</v>
      </c>
      <c r="T47" s="1">
        <v>1011185</v>
      </c>
      <c r="U47" s="1">
        <v>1040634</v>
      </c>
      <c r="V47" s="1">
        <v>1161554</v>
      </c>
      <c r="W47" s="1">
        <v>1207513</v>
      </c>
      <c r="X47" s="1">
        <v>1321436</v>
      </c>
      <c r="Y47" s="1">
        <v>1301069</v>
      </c>
      <c r="Z47" s="1">
        <v>1310596</v>
      </c>
      <c r="AA47" s="1">
        <v>1388315</v>
      </c>
      <c r="AB47" s="1">
        <v>1297650</v>
      </c>
      <c r="AC47" s="1">
        <v>1273303</v>
      </c>
      <c r="AD47" s="1">
        <v>1311100</v>
      </c>
      <c r="AE47" s="1">
        <v>1323634</v>
      </c>
      <c r="AF47" s="1">
        <v>1347116</v>
      </c>
      <c r="AG47" s="1">
        <v>1375978</v>
      </c>
      <c r="AH47" s="1">
        <v>1261240</v>
      </c>
      <c r="AI47" s="1">
        <v>1351223</v>
      </c>
      <c r="AJ47" s="1">
        <v>1283084</v>
      </c>
      <c r="AK47" s="1">
        <v>863465</v>
      </c>
      <c r="CC47" s="33" t="s">
        <v>189</v>
      </c>
      <c r="CD47">
        <f>$CD$37*CD46</f>
        <v>1.0812469801333413E-6</v>
      </c>
      <c r="CE47">
        <f t="shared" ref="CE47:CM47" si="23">$CD$37*CE46</f>
        <v>1.3194857025225832E-6</v>
      </c>
      <c r="CF47">
        <f t="shared" si="23"/>
        <v>7.5137333886757908E-7</v>
      </c>
      <c r="CG47">
        <f t="shared" si="23"/>
        <v>1.4074508479125204E-5</v>
      </c>
      <c r="CH47">
        <f t="shared" si="23"/>
        <v>0.96754958408517144</v>
      </c>
      <c r="CI47">
        <f t="shared" si="23"/>
        <v>1.5913809302729596</v>
      </c>
      <c r="CJ47">
        <f t="shared" si="23"/>
        <v>1.8245681879833027</v>
      </c>
      <c r="CK47">
        <f t="shared" si="23"/>
        <v>1.6643253741739827</v>
      </c>
      <c r="CL47">
        <f t="shared" si="23"/>
        <v>1.6673854613581944E-2</v>
      </c>
      <c r="CM47">
        <f t="shared" si="23"/>
        <v>9.7128875884447978E-7</v>
      </c>
      <c r="CT47" s="33" t="s">
        <v>189</v>
      </c>
      <c r="CU47">
        <f>$CU$37*CU46</f>
        <v>9.1228032208084359E-7</v>
      </c>
      <c r="CV47">
        <f t="shared" ref="CV47:DD47" si="24">$CU$37*CV46</f>
        <v>8.5007613735992004E-7</v>
      </c>
      <c r="CW47">
        <f t="shared" si="24"/>
        <v>1.7208915311820831E-6</v>
      </c>
      <c r="CX47">
        <f t="shared" si="24"/>
        <v>7.1856496270349113E-4</v>
      </c>
      <c r="CY47">
        <f t="shared" si="24"/>
        <v>1.5759566444187518</v>
      </c>
      <c r="CZ47">
        <f t="shared" si="24"/>
        <v>2.0650224237999169</v>
      </c>
      <c r="DA47">
        <f t="shared" si="24"/>
        <v>1.9680747261940967</v>
      </c>
      <c r="DB47">
        <f t="shared" si="24"/>
        <v>1.9211396438361432</v>
      </c>
      <c r="DC47">
        <f t="shared" si="24"/>
        <v>7.6226251068887835E-2</v>
      </c>
      <c r="DD47">
        <f t="shared" si="24"/>
        <v>1.1196143681428806E-6</v>
      </c>
      <c r="DI47" s="33" t="s">
        <v>189</v>
      </c>
      <c r="DJ47">
        <f>$DJ$37*DJ46</f>
        <v>2.9690911644697706E-6</v>
      </c>
      <c r="DK47">
        <f t="shared" ref="DK47:DS47" si="25">$DJ$37*DK46</f>
        <v>3.9421634299138218E-6</v>
      </c>
      <c r="DL47">
        <f t="shared" si="25"/>
        <v>1.8962307161952462E-6</v>
      </c>
      <c r="DM47">
        <f t="shared" si="25"/>
        <v>5.7258159491101641E-2</v>
      </c>
      <c r="DN47">
        <f t="shared" si="25"/>
        <v>2.1428325653845</v>
      </c>
      <c r="DO47">
        <f t="shared" si="25"/>
        <v>1.9595658908857758</v>
      </c>
      <c r="DP47">
        <f t="shared" si="25"/>
        <v>1.8443941747670778</v>
      </c>
      <c r="DQ47">
        <f t="shared" si="25"/>
        <v>2.6175505998161697</v>
      </c>
      <c r="DR47">
        <f t="shared" si="25"/>
        <v>0.24935050809310372</v>
      </c>
      <c r="DS47">
        <f t="shared" si="25"/>
        <v>7.0360124466813064E-6</v>
      </c>
      <c r="DX47" s="33" t="s">
        <v>189</v>
      </c>
      <c r="DY47">
        <f>$DY$37*DY46</f>
        <v>4.316168999035003E-6</v>
      </c>
      <c r="DZ47">
        <f t="shared" ref="DZ47:EH47" si="26">$DY$37*DZ46</f>
        <v>3.7668370293989017E-6</v>
      </c>
      <c r="EA47">
        <f t="shared" si="26"/>
        <v>9.7833138865879872E-6</v>
      </c>
      <c r="EB47">
        <f t="shared" si="26"/>
        <v>0.31459817185005096</v>
      </c>
      <c r="EC47">
        <f t="shared" si="26"/>
        <v>2.6661950820964981</v>
      </c>
      <c r="ED47">
        <f t="shared" si="26"/>
        <v>1.9559332667031888</v>
      </c>
      <c r="EE47">
        <f t="shared" si="26"/>
        <v>1.9788018911032612</v>
      </c>
      <c r="EF47">
        <f t="shared" si="26"/>
        <v>3.1040930523197887</v>
      </c>
      <c r="EG47">
        <f t="shared" si="26"/>
        <v>0.51219132270987355</v>
      </c>
      <c r="EH47">
        <f t="shared" si="26"/>
        <v>1.5026802307580322E-3</v>
      </c>
    </row>
    <row r="48" spans="1:138" ht="15" thickBot="1" x14ac:dyDescent="0.4">
      <c r="A48" s="6"/>
      <c r="B48" s="158" t="s">
        <v>87</v>
      </c>
      <c r="C48" s="159"/>
      <c r="D48" s="7">
        <v>0</v>
      </c>
      <c r="E48" s="7">
        <v>5138305</v>
      </c>
      <c r="F48" s="7">
        <v>6684860</v>
      </c>
      <c r="G48" s="7">
        <v>6168342</v>
      </c>
      <c r="H48" s="7">
        <v>5164347</v>
      </c>
      <c r="I48" s="7">
        <v>5177088</v>
      </c>
      <c r="J48" s="7">
        <v>5349082</v>
      </c>
      <c r="K48" s="7">
        <v>5602013</v>
      </c>
      <c r="L48" s="7">
        <v>5998159</v>
      </c>
      <c r="M48" s="7">
        <v>6635306</v>
      </c>
      <c r="N48" s="7">
        <v>7282803</v>
      </c>
      <c r="O48" s="7">
        <v>7256797</v>
      </c>
      <c r="P48" s="7">
        <v>7914088</v>
      </c>
      <c r="Q48" s="7">
        <v>8223865</v>
      </c>
      <c r="R48" s="7">
        <v>9048894</v>
      </c>
      <c r="S48" s="7">
        <v>9539045</v>
      </c>
      <c r="T48" s="7">
        <v>10220522</v>
      </c>
      <c r="U48" s="7">
        <v>10689340</v>
      </c>
      <c r="V48" s="7">
        <v>10910524</v>
      </c>
      <c r="W48" s="7">
        <v>11328731</v>
      </c>
      <c r="X48" s="7">
        <v>11610777</v>
      </c>
      <c r="Y48" s="7">
        <v>11292768</v>
      </c>
      <c r="Z48" s="7">
        <v>10485212</v>
      </c>
      <c r="AA48" s="7">
        <v>10157800</v>
      </c>
      <c r="AB48" s="7">
        <v>10028600</v>
      </c>
      <c r="AC48" s="7">
        <v>10376381</v>
      </c>
      <c r="AD48" s="7">
        <v>10676798</v>
      </c>
      <c r="AE48" s="7">
        <v>10824348</v>
      </c>
      <c r="AF48" s="7">
        <v>10863756</v>
      </c>
      <c r="AG48" s="7">
        <v>10558761</v>
      </c>
      <c r="AH48" s="7">
        <v>10241082</v>
      </c>
      <c r="AI48" s="7">
        <v>11105096</v>
      </c>
      <c r="AJ48" s="7">
        <v>10956901</v>
      </c>
      <c r="AK48" s="7">
        <v>7139707</v>
      </c>
      <c r="CC48" s="33" t="s">
        <v>172</v>
      </c>
      <c r="CD48">
        <f>$CD$39/10</f>
        <v>1447.5129032258064</v>
      </c>
      <c r="CE48">
        <f t="shared" ref="CE48:CM48" si="27">$CD$39/10</f>
        <v>1447.5129032258064</v>
      </c>
      <c r="CF48">
        <f t="shared" si="27"/>
        <v>1447.5129032258064</v>
      </c>
      <c r="CG48">
        <f t="shared" si="27"/>
        <v>1447.5129032258064</v>
      </c>
      <c r="CH48">
        <f t="shared" si="27"/>
        <v>1447.5129032258064</v>
      </c>
      <c r="CI48">
        <f t="shared" si="27"/>
        <v>1447.5129032258064</v>
      </c>
      <c r="CJ48">
        <f t="shared" si="27"/>
        <v>1447.5129032258064</v>
      </c>
      <c r="CK48">
        <f t="shared" si="27"/>
        <v>1447.5129032258064</v>
      </c>
      <c r="CL48">
        <f t="shared" si="27"/>
        <v>1447.5129032258064</v>
      </c>
      <c r="CM48">
        <f t="shared" si="27"/>
        <v>1447.5129032258064</v>
      </c>
      <c r="CT48" s="33" t="s">
        <v>172</v>
      </c>
      <c r="CU48">
        <f>$CU$39/10</f>
        <v>1096.2321428571429</v>
      </c>
      <c r="CV48">
        <f t="shared" ref="CV48:DD48" si="28">$CU$39/10</f>
        <v>1096.2321428571429</v>
      </c>
      <c r="CW48">
        <f t="shared" si="28"/>
        <v>1096.2321428571429</v>
      </c>
      <c r="CX48">
        <f t="shared" si="28"/>
        <v>1096.2321428571429</v>
      </c>
      <c r="CY48">
        <f t="shared" si="28"/>
        <v>1096.2321428571429</v>
      </c>
      <c r="CZ48">
        <f t="shared" si="28"/>
        <v>1096.2321428571429</v>
      </c>
      <c r="DA48">
        <f t="shared" si="28"/>
        <v>1096.2321428571429</v>
      </c>
      <c r="DB48">
        <f t="shared" si="28"/>
        <v>1096.2321428571429</v>
      </c>
      <c r="DC48">
        <f t="shared" si="28"/>
        <v>1096.2321428571429</v>
      </c>
      <c r="DD48">
        <f t="shared" si="28"/>
        <v>1096.2321428571429</v>
      </c>
      <c r="DI48" s="33" t="s">
        <v>172</v>
      </c>
      <c r="DJ48">
        <f>$DJ$39/10</f>
        <v>1997.6387096774192</v>
      </c>
      <c r="DK48">
        <f t="shared" ref="DK48:DS48" si="29">$DJ$39/10</f>
        <v>1997.6387096774192</v>
      </c>
      <c r="DL48">
        <f t="shared" si="29"/>
        <v>1997.6387096774192</v>
      </c>
      <c r="DM48">
        <f t="shared" si="29"/>
        <v>1997.6387096774192</v>
      </c>
      <c r="DN48">
        <f t="shared" si="29"/>
        <v>1997.6387096774192</v>
      </c>
      <c r="DO48">
        <f t="shared" si="29"/>
        <v>1997.6387096774192</v>
      </c>
      <c r="DP48">
        <f t="shared" si="29"/>
        <v>1997.6387096774192</v>
      </c>
      <c r="DQ48">
        <f t="shared" si="29"/>
        <v>1997.6387096774192</v>
      </c>
      <c r="DR48">
        <f t="shared" si="29"/>
        <v>1997.6387096774192</v>
      </c>
      <c r="DS48">
        <f t="shared" si="29"/>
        <v>1997.6387096774192</v>
      </c>
      <c r="DX48" s="33" t="s">
        <v>172</v>
      </c>
      <c r="DY48">
        <f>$DY$39/10</f>
        <v>1813.42</v>
      </c>
      <c r="DZ48">
        <f t="shared" ref="DZ48:EH48" si="30">$DY$39/10</f>
        <v>1813.42</v>
      </c>
      <c r="EA48">
        <f t="shared" si="30"/>
        <v>1813.42</v>
      </c>
      <c r="EB48">
        <f t="shared" si="30"/>
        <v>1813.42</v>
      </c>
      <c r="EC48">
        <f t="shared" si="30"/>
        <v>1813.42</v>
      </c>
      <c r="ED48">
        <f t="shared" si="30"/>
        <v>1813.42</v>
      </c>
      <c r="EE48">
        <f t="shared" si="30"/>
        <v>1813.42</v>
      </c>
      <c r="EF48">
        <f t="shared" si="30"/>
        <v>1813.42</v>
      </c>
      <c r="EG48">
        <f t="shared" si="30"/>
        <v>1813.42</v>
      </c>
      <c r="EH48">
        <f t="shared" si="30"/>
        <v>1813.42</v>
      </c>
    </row>
    <row r="49" spans="1:138" ht="14.5" customHeight="1" x14ac:dyDescent="0.35">
      <c r="CC49" s="33" t="s">
        <v>170</v>
      </c>
      <c r="CD49">
        <v>0</v>
      </c>
      <c r="CE49">
        <v>0</v>
      </c>
      <c r="CF49">
        <v>0</v>
      </c>
      <c r="CG49">
        <v>0</v>
      </c>
      <c r="CH49">
        <v>0</v>
      </c>
      <c r="CI49">
        <v>0</v>
      </c>
      <c r="CJ49">
        <v>0</v>
      </c>
      <c r="CK49">
        <v>0</v>
      </c>
      <c r="CL49">
        <v>0</v>
      </c>
      <c r="CM49">
        <v>0</v>
      </c>
      <c r="CT49" s="33" t="s">
        <v>170</v>
      </c>
      <c r="CU49">
        <v>0</v>
      </c>
      <c r="CV49">
        <v>0</v>
      </c>
      <c r="CW49">
        <v>0</v>
      </c>
      <c r="CX49">
        <v>0</v>
      </c>
      <c r="CY49">
        <v>0</v>
      </c>
      <c r="CZ49">
        <v>0</v>
      </c>
      <c r="DA49">
        <v>0</v>
      </c>
      <c r="DB49">
        <v>0</v>
      </c>
      <c r="DC49">
        <v>0</v>
      </c>
      <c r="DD49">
        <v>0</v>
      </c>
      <c r="DI49" s="33" t="s">
        <v>170</v>
      </c>
      <c r="DJ49">
        <v>0</v>
      </c>
      <c r="DK49">
        <v>0</v>
      </c>
      <c r="DL49">
        <v>0</v>
      </c>
      <c r="DM49">
        <v>0</v>
      </c>
      <c r="DN49">
        <v>0</v>
      </c>
      <c r="DO49">
        <v>0</v>
      </c>
      <c r="DP49">
        <v>0</v>
      </c>
      <c r="DQ49">
        <v>0</v>
      </c>
      <c r="DR49">
        <v>0</v>
      </c>
      <c r="DS49">
        <v>0</v>
      </c>
      <c r="DX49" s="33" t="s">
        <v>170</v>
      </c>
      <c r="DY49">
        <v>0</v>
      </c>
      <c r="DZ49">
        <v>0</v>
      </c>
      <c r="EA49">
        <v>0</v>
      </c>
      <c r="EB49">
        <v>0</v>
      </c>
      <c r="EC49">
        <v>0</v>
      </c>
      <c r="ED49">
        <v>0</v>
      </c>
      <c r="EE49">
        <v>0</v>
      </c>
      <c r="EF49">
        <v>0</v>
      </c>
      <c r="EG49">
        <v>0</v>
      </c>
      <c r="EH49">
        <v>0</v>
      </c>
    </row>
    <row r="50" spans="1:138" x14ac:dyDescent="0.35">
      <c r="CC50" s="33"/>
      <c r="CT50" s="33"/>
      <c r="DI50" s="33"/>
      <c r="DX50" s="33"/>
    </row>
    <row r="51" spans="1:138" x14ac:dyDescent="0.35">
      <c r="CC51" s="33" t="s">
        <v>194</v>
      </c>
      <c r="CD51">
        <f t="shared" ref="CD51:CM51" si="31">CD45+CD47+CD48+CD49</f>
        <v>1557.2600687849124</v>
      </c>
      <c r="CE51">
        <f t="shared" si="31"/>
        <v>1566.6942932737657</v>
      </c>
      <c r="CF51">
        <f t="shared" si="31"/>
        <v>1622.0455228428398</v>
      </c>
      <c r="CG51">
        <f t="shared" si="31"/>
        <v>1565.0087239432273</v>
      </c>
      <c r="CH51">
        <f t="shared" si="31"/>
        <v>1652.6412851607918</v>
      </c>
      <c r="CI51">
        <f t="shared" si="31"/>
        <v>1589.5621715901796</v>
      </c>
      <c r="CJ51">
        <f t="shared" si="31"/>
        <v>1578.1804790067588</v>
      </c>
      <c r="CK51">
        <f t="shared" si="31"/>
        <v>1627.631608658095</v>
      </c>
      <c r="CL51">
        <f t="shared" si="31"/>
        <v>1567.3158937078135</v>
      </c>
      <c r="CM51">
        <f t="shared" si="31"/>
        <v>1624.853501418713</v>
      </c>
      <c r="CT51" s="33" t="s">
        <v>194</v>
      </c>
      <c r="CU51">
        <f t="shared" ref="CU51:DD51" si="32">CU45+CU47+CU48+CU49</f>
        <v>1264.7568308310147</v>
      </c>
      <c r="CV51">
        <f t="shared" si="32"/>
        <v>1270.9167720008179</v>
      </c>
      <c r="CW51">
        <f t="shared" si="32"/>
        <v>1336.9104993672192</v>
      </c>
      <c r="CX51">
        <f t="shared" si="32"/>
        <v>1250.7429477710637</v>
      </c>
      <c r="CY51">
        <f t="shared" si="32"/>
        <v>1346.2681790542838</v>
      </c>
      <c r="CZ51">
        <f t="shared" si="32"/>
        <v>1286.6671752474876</v>
      </c>
      <c r="DA51">
        <f t="shared" si="32"/>
        <v>1292.6683768963758</v>
      </c>
      <c r="DB51">
        <f t="shared" si="32"/>
        <v>1373.5586731196049</v>
      </c>
      <c r="DC51">
        <f t="shared" si="32"/>
        <v>1271.1074642977469</v>
      </c>
      <c r="DD51">
        <f t="shared" si="32"/>
        <v>1373.8316528429571</v>
      </c>
      <c r="DI51" s="33" t="s">
        <v>194</v>
      </c>
      <c r="DJ51">
        <f t="shared" ref="DJ51:DS51" si="33">DJ45+DJ47+DJ48+DJ49</f>
        <v>2219.0777476141284</v>
      </c>
      <c r="DK51">
        <f t="shared" si="33"/>
        <v>2230.5439511952391</v>
      </c>
      <c r="DL51">
        <f t="shared" si="33"/>
        <v>2352.3248545140054</v>
      </c>
      <c r="DM51">
        <f t="shared" si="33"/>
        <v>2247.9165630801594</v>
      </c>
      <c r="DN51">
        <f t="shared" si="33"/>
        <v>2409.9560301127794</v>
      </c>
      <c r="DO51">
        <f t="shared" si="33"/>
        <v>2290.3827485599063</v>
      </c>
      <c r="DP51">
        <f t="shared" si="33"/>
        <v>2288.8380784151523</v>
      </c>
      <c r="DQ51">
        <f t="shared" si="33"/>
        <v>2376.3489418963923</v>
      </c>
      <c r="DR51">
        <f t="shared" si="33"/>
        <v>2204.0494308420971</v>
      </c>
      <c r="DS51">
        <f t="shared" si="33"/>
        <v>2324.4971376411063</v>
      </c>
      <c r="DX51" s="33" t="s">
        <v>194</v>
      </c>
      <c r="DY51">
        <f t="shared" ref="DY51:EH51" si="34">DY45+DY47+DY48+DY49</f>
        <v>1907.6374842440787</v>
      </c>
      <c r="DZ51">
        <f t="shared" si="34"/>
        <v>1909.7614874895457</v>
      </c>
      <c r="EA51">
        <f t="shared" si="34"/>
        <v>1965.5338114806295</v>
      </c>
      <c r="EB51">
        <f t="shared" si="34"/>
        <v>1922.7969924913937</v>
      </c>
      <c r="EC51">
        <f t="shared" si="34"/>
        <v>1996.6468557628712</v>
      </c>
      <c r="ED51">
        <f t="shared" si="34"/>
        <v>1941.0027836801758</v>
      </c>
      <c r="EE51">
        <f t="shared" si="34"/>
        <v>1943.1833998001127</v>
      </c>
      <c r="EF51">
        <f t="shared" si="34"/>
        <v>1999.7814758508794</v>
      </c>
      <c r="EG51">
        <f t="shared" si="34"/>
        <v>1917.0205649784518</v>
      </c>
      <c r="EH51">
        <f t="shared" si="34"/>
        <v>1958.0351442218623</v>
      </c>
    </row>
    <row r="56" spans="1:138" ht="14.5" customHeight="1" x14ac:dyDescent="0.35"/>
    <row r="57" spans="1:138" ht="14.5" customHeight="1" x14ac:dyDescent="0.35"/>
    <row r="60" spans="1:138" x14ac:dyDescent="0.35">
      <c r="CO60" s="63"/>
      <c r="CZ60" s="63"/>
    </row>
    <row r="61" spans="1:138" x14ac:dyDescent="0.35">
      <c r="CO61" s="63"/>
    </row>
    <row r="63" spans="1:138" ht="15" thickBot="1" x14ac:dyDescent="0.4"/>
    <row r="64" spans="1:138" ht="15" x14ac:dyDescent="0.4">
      <c r="A64" s="11"/>
      <c r="B64" s="12"/>
      <c r="C64" s="12"/>
      <c r="D64" s="12"/>
      <c r="E64" s="12"/>
      <c r="F64" s="12"/>
      <c r="G64" s="12"/>
      <c r="H64" s="12"/>
      <c r="I64" s="13"/>
    </row>
    <row r="67" spans="31:31" x14ac:dyDescent="0.35">
      <c r="AE67">
        <f>AJ48*10^-6</f>
        <v>10.956901</v>
      </c>
    </row>
    <row r="81" spans="80:138" x14ac:dyDescent="0.35">
      <c r="CB81" s="29" t="s">
        <v>173</v>
      </c>
      <c r="CS81" s="29" t="s">
        <v>179</v>
      </c>
      <c r="DH81" s="29" t="s">
        <v>180</v>
      </c>
      <c r="DW81" s="29" t="s">
        <v>183</v>
      </c>
    </row>
    <row r="86" spans="80:138" x14ac:dyDescent="0.35">
      <c r="DF86" s="63"/>
    </row>
    <row r="87" spans="80:138" x14ac:dyDescent="0.35">
      <c r="CC87" t="s">
        <v>181</v>
      </c>
      <c r="CD87">
        <f>BK44/31</f>
        <v>17330.612903225807</v>
      </c>
      <c r="CP87" s="63"/>
      <c r="CT87" t="s">
        <v>181</v>
      </c>
      <c r="CU87">
        <f>BL44/30</f>
        <v>41859.5</v>
      </c>
      <c r="DI87" t="s">
        <v>181</v>
      </c>
      <c r="DJ87">
        <f>BM44/31</f>
        <v>30265.032258064515</v>
      </c>
      <c r="DX87" t="s">
        <v>181</v>
      </c>
      <c r="DY87">
        <f>BN44/31</f>
        <v>31578.225806451614</v>
      </c>
    </row>
    <row r="88" spans="80:138" x14ac:dyDescent="0.35">
      <c r="CC88" t="s">
        <v>201</v>
      </c>
      <c r="CD88">
        <f>BK6/31</f>
        <v>1162.6774193548388</v>
      </c>
      <c r="CP88" s="63"/>
      <c r="CT88" t="s">
        <v>201</v>
      </c>
      <c r="CU88">
        <f>BL6/30</f>
        <v>1629.8333333333333</v>
      </c>
      <c r="DI88" t="s">
        <v>201</v>
      </c>
      <c r="DJ88">
        <f>BM6/31</f>
        <v>1290.6774193548388</v>
      </c>
      <c r="DX88" t="s">
        <v>201</v>
      </c>
      <c r="DY88">
        <f>BN6/31</f>
        <v>1144.3870967741937</v>
      </c>
    </row>
    <row r="89" spans="80:138" x14ac:dyDescent="0.35">
      <c r="CC89" t="s">
        <v>93</v>
      </c>
      <c r="CD89">
        <f>BK15/31</f>
        <v>9.32258064516129</v>
      </c>
      <c r="CP89" s="63"/>
      <c r="CT89" t="s">
        <v>93</v>
      </c>
      <c r="CU89">
        <f>BL15/30</f>
        <v>7.7666666666666666</v>
      </c>
      <c r="DF89" s="63"/>
      <c r="DI89" t="s">
        <v>93</v>
      </c>
      <c r="DJ89">
        <f>BM15/31</f>
        <v>10.516129032258064</v>
      </c>
      <c r="DX89" t="s">
        <v>93</v>
      </c>
      <c r="DY89">
        <f>BN15/31</f>
        <v>9.6451612903225801</v>
      </c>
    </row>
    <row r="90" spans="80:138" x14ac:dyDescent="0.35">
      <c r="CC90" t="s">
        <v>170</v>
      </c>
      <c r="CD90">
        <v>0</v>
      </c>
      <c r="CP90" s="63"/>
      <c r="CT90" t="s">
        <v>170</v>
      </c>
      <c r="CU90">
        <v>0</v>
      </c>
      <c r="DI90" t="s">
        <v>170</v>
      </c>
      <c r="DJ90">
        <v>0</v>
      </c>
      <c r="DX90" t="s">
        <v>170</v>
      </c>
      <c r="DY90">
        <v>0</v>
      </c>
    </row>
    <row r="91" spans="80:138" x14ac:dyDescent="0.35">
      <c r="CC91" t="s">
        <v>172</v>
      </c>
      <c r="CD91">
        <f>BK10/31</f>
        <v>15702.387096774193</v>
      </c>
      <c r="CT91" t="s">
        <v>172</v>
      </c>
      <c r="CU91">
        <f>BL10/30</f>
        <v>13182.7</v>
      </c>
      <c r="DF91" s="63"/>
      <c r="DI91" t="s">
        <v>172</v>
      </c>
      <c r="DJ91">
        <f>BM10/31</f>
        <v>6188.7096774193551</v>
      </c>
      <c r="DX91" t="s">
        <v>172</v>
      </c>
      <c r="DY91">
        <f>BN10/31</f>
        <v>6358.5483870967746</v>
      </c>
    </row>
    <row r="93" spans="80:138" x14ac:dyDescent="0.35">
      <c r="CC93" s="33"/>
      <c r="CD93" t="s">
        <v>154</v>
      </c>
      <c r="CE93" t="s">
        <v>155</v>
      </c>
      <c r="CF93" t="s">
        <v>156</v>
      </c>
      <c r="CG93" t="s">
        <v>157</v>
      </c>
      <c r="CH93" t="s">
        <v>158</v>
      </c>
      <c r="CI93" t="s">
        <v>159</v>
      </c>
      <c r="CJ93" t="s">
        <v>160</v>
      </c>
      <c r="CK93" t="s">
        <v>161</v>
      </c>
      <c r="CL93" t="s">
        <v>162</v>
      </c>
      <c r="CM93" t="s">
        <v>163</v>
      </c>
      <c r="CT93" s="33"/>
      <c r="CU93" t="s">
        <v>154</v>
      </c>
      <c r="CV93" t="s">
        <v>155</v>
      </c>
      <c r="CW93" t="s">
        <v>156</v>
      </c>
      <c r="CX93" t="s">
        <v>157</v>
      </c>
      <c r="CY93" t="s">
        <v>158</v>
      </c>
      <c r="CZ93" t="s">
        <v>159</v>
      </c>
      <c r="DA93" t="s">
        <v>160</v>
      </c>
      <c r="DB93" t="s">
        <v>161</v>
      </c>
      <c r="DC93" t="s">
        <v>162</v>
      </c>
      <c r="DD93" t="s">
        <v>163</v>
      </c>
      <c r="DI93" s="33"/>
      <c r="DJ93" t="s">
        <v>154</v>
      </c>
      <c r="DK93" t="s">
        <v>155</v>
      </c>
      <c r="DL93" t="s">
        <v>156</v>
      </c>
      <c r="DM93" t="s">
        <v>157</v>
      </c>
      <c r="DN93" t="s">
        <v>158</v>
      </c>
      <c r="DO93" t="s">
        <v>159</v>
      </c>
      <c r="DP93" t="s">
        <v>160</v>
      </c>
      <c r="DQ93" t="s">
        <v>161</v>
      </c>
      <c r="DR93" t="s">
        <v>162</v>
      </c>
      <c r="DS93" t="s">
        <v>163</v>
      </c>
      <c r="DX93" s="33"/>
      <c r="DY93" t="s">
        <v>154</v>
      </c>
      <c r="DZ93" t="s">
        <v>155</v>
      </c>
      <c r="EA93" t="s">
        <v>156</v>
      </c>
      <c r="EB93" t="s">
        <v>157</v>
      </c>
      <c r="EC93" t="s">
        <v>158</v>
      </c>
      <c r="ED93" t="s">
        <v>159</v>
      </c>
      <c r="EE93" t="s">
        <v>160</v>
      </c>
      <c r="EF93" t="s">
        <v>161</v>
      </c>
      <c r="EG93" t="s">
        <v>162</v>
      </c>
      <c r="EH93" t="s">
        <v>163</v>
      </c>
    </row>
    <row r="94" spans="80:138" x14ac:dyDescent="0.35">
      <c r="CC94" s="33" t="s">
        <v>181</v>
      </c>
      <c r="CD94">
        <v>9.056603773584905E-2</v>
      </c>
      <c r="CE94">
        <v>8.3018867924528311E-2</v>
      </c>
      <c r="CF94">
        <v>8.3018867924528311E-2</v>
      </c>
      <c r="CG94">
        <v>9.056603773584905E-2</v>
      </c>
      <c r="CH94">
        <v>0.10943396226415095</v>
      </c>
      <c r="CI94">
        <v>0.10566037735849056</v>
      </c>
      <c r="CJ94">
        <v>9.8113207547169817E-2</v>
      </c>
      <c r="CK94">
        <v>9.8113207547169817E-2</v>
      </c>
      <c r="CL94">
        <v>0.12830188679245283</v>
      </c>
      <c r="CM94">
        <v>0.11320754716981132</v>
      </c>
      <c r="CT94" s="33" t="s">
        <v>181</v>
      </c>
      <c r="CU94">
        <v>9.7014925373134331E-2</v>
      </c>
      <c r="CV94">
        <v>8.2089552238805971E-2</v>
      </c>
      <c r="CW94">
        <v>8.2089552238805971E-2</v>
      </c>
      <c r="CX94">
        <v>8.9552238805970144E-2</v>
      </c>
      <c r="CY94">
        <v>0.11194029850746269</v>
      </c>
      <c r="CZ94">
        <v>0.1044776119402985</v>
      </c>
      <c r="DA94">
        <v>9.7014925373134331E-2</v>
      </c>
      <c r="DB94">
        <v>9.7014925373134331E-2</v>
      </c>
      <c r="DC94">
        <v>0.12686567164179105</v>
      </c>
      <c r="DD94">
        <v>0.11194029850746269</v>
      </c>
      <c r="DI94" s="33" t="s">
        <v>181</v>
      </c>
      <c r="DJ94">
        <v>9.602649006622517E-2</v>
      </c>
      <c r="DK94">
        <v>8.6092715231788089E-2</v>
      </c>
      <c r="DL94">
        <v>8.6092715231788089E-2</v>
      </c>
      <c r="DM94">
        <v>7.9470198675496692E-2</v>
      </c>
      <c r="DN94">
        <v>0.10927152317880795</v>
      </c>
      <c r="DO94">
        <v>0.11258278145695366</v>
      </c>
      <c r="DP94">
        <v>0.11258278145695366</v>
      </c>
      <c r="DQ94">
        <v>9.602649006622517E-2</v>
      </c>
      <c r="DR94">
        <v>0.11589403973509936</v>
      </c>
      <c r="DS94">
        <v>0.10596026490066228</v>
      </c>
      <c r="DX94" s="33" t="s">
        <v>181</v>
      </c>
      <c r="DY94">
        <v>9.4155844155844146E-2</v>
      </c>
      <c r="DZ94">
        <v>8.4415584415584416E-2</v>
      </c>
      <c r="EA94">
        <v>8.4415584415584416E-2</v>
      </c>
      <c r="EB94">
        <v>7.792207792207792E-2</v>
      </c>
      <c r="EC94">
        <v>0.11038961038961038</v>
      </c>
      <c r="ED94">
        <v>0.11038961038961038</v>
      </c>
      <c r="EE94">
        <v>0.11038961038961038</v>
      </c>
      <c r="EF94">
        <v>9.4155844155844146E-2</v>
      </c>
      <c r="EG94">
        <v>0.11688311688311688</v>
      </c>
      <c r="EH94">
        <v>0.11688311688311688</v>
      </c>
    </row>
    <row r="95" spans="80:138" x14ac:dyDescent="0.35">
      <c r="CC95" s="33" t="s">
        <v>181</v>
      </c>
      <c r="CD95">
        <f>$CD$87*CD94</f>
        <v>1569.5649421789408</v>
      </c>
      <c r="CE95">
        <f t="shared" ref="CE95:CM95" si="35">$CD$87*CE94</f>
        <v>1438.7678636640294</v>
      </c>
      <c r="CF95">
        <f t="shared" si="35"/>
        <v>1438.7678636640294</v>
      </c>
      <c r="CG95">
        <f t="shared" si="35"/>
        <v>1569.5649421789408</v>
      </c>
      <c r="CH95">
        <f t="shared" si="35"/>
        <v>1896.5576384662204</v>
      </c>
      <c r="CI95">
        <f t="shared" si="35"/>
        <v>1831.1590992087642</v>
      </c>
      <c r="CJ95">
        <f t="shared" si="35"/>
        <v>1700.3620206938529</v>
      </c>
      <c r="CK95">
        <f t="shared" si="35"/>
        <v>1700.3620206938529</v>
      </c>
      <c r="CL95">
        <f t="shared" si="35"/>
        <v>2223.5503347534996</v>
      </c>
      <c r="CM95">
        <f t="shared" si="35"/>
        <v>1961.9561777236763</v>
      </c>
      <c r="CT95" s="33" t="s">
        <v>181</v>
      </c>
      <c r="CU95">
        <f>$CU$87*CU94</f>
        <v>4060.9962686567164</v>
      </c>
      <c r="CV95">
        <f t="shared" ref="CV95:DD95" si="36">$CU$87*CV94</f>
        <v>3436.2276119402986</v>
      </c>
      <c r="CW95">
        <f t="shared" si="36"/>
        <v>3436.2276119402986</v>
      </c>
      <c r="CX95">
        <f t="shared" si="36"/>
        <v>3748.6119402985073</v>
      </c>
      <c r="CY95">
        <f t="shared" si="36"/>
        <v>4685.7649253731342</v>
      </c>
      <c r="CZ95">
        <f t="shared" si="36"/>
        <v>4373.3805970149251</v>
      </c>
      <c r="DA95">
        <f t="shared" si="36"/>
        <v>4060.9962686567164</v>
      </c>
      <c r="DB95">
        <f t="shared" si="36"/>
        <v>4060.9962686567164</v>
      </c>
      <c r="DC95">
        <f t="shared" si="36"/>
        <v>5310.5335820895525</v>
      </c>
      <c r="DD95">
        <f t="shared" si="36"/>
        <v>4685.7649253731342</v>
      </c>
      <c r="DI95" s="33" t="s">
        <v>181</v>
      </c>
      <c r="DJ95">
        <f>$DJ$87*DJ94</f>
        <v>2906.2448194830167</v>
      </c>
      <c r="DK95">
        <f t="shared" ref="DK95:DS95" si="37">$DJ$87*DK94</f>
        <v>2605.5988036744288</v>
      </c>
      <c r="DL95">
        <f t="shared" si="37"/>
        <v>2605.5988036744288</v>
      </c>
      <c r="DM95">
        <f t="shared" si="37"/>
        <v>2405.1681264687031</v>
      </c>
      <c r="DN95">
        <f t="shared" si="37"/>
        <v>3307.1061738944668</v>
      </c>
      <c r="DO95">
        <f t="shared" si="37"/>
        <v>3407.3215124973303</v>
      </c>
      <c r="DP95">
        <f t="shared" si="37"/>
        <v>3407.3215124973303</v>
      </c>
      <c r="DQ95">
        <f t="shared" si="37"/>
        <v>2906.2448194830167</v>
      </c>
      <c r="DR95">
        <f t="shared" si="37"/>
        <v>3507.536851100193</v>
      </c>
      <c r="DS95">
        <f t="shared" si="37"/>
        <v>3206.8908352916051</v>
      </c>
      <c r="DX95" s="33" t="s">
        <v>181</v>
      </c>
      <c r="DY95">
        <f>$DY$87*DY94</f>
        <v>2973.2745077503141</v>
      </c>
      <c r="DZ95">
        <f t="shared" ref="DZ95:EH95" si="38">$DY$87*DZ94</f>
        <v>2665.6943862589023</v>
      </c>
      <c r="EA95">
        <f t="shared" si="38"/>
        <v>2665.6943862589023</v>
      </c>
      <c r="EB95">
        <f t="shared" si="38"/>
        <v>2460.6409719312946</v>
      </c>
      <c r="EC95">
        <f t="shared" si="38"/>
        <v>3485.908043569334</v>
      </c>
      <c r="ED95">
        <f t="shared" si="38"/>
        <v>3485.908043569334</v>
      </c>
      <c r="EE95">
        <f t="shared" si="38"/>
        <v>3485.908043569334</v>
      </c>
      <c r="EF95">
        <f t="shared" si="38"/>
        <v>2973.2745077503141</v>
      </c>
      <c r="EG95">
        <f t="shared" si="38"/>
        <v>3690.9614578969417</v>
      </c>
      <c r="EH95">
        <f t="shared" si="38"/>
        <v>3690.9614578969417</v>
      </c>
    </row>
    <row r="96" spans="80:138" x14ac:dyDescent="0.35">
      <c r="CC96" s="33" t="s">
        <v>184</v>
      </c>
      <c r="CD96">
        <v>7.8348880302090529E-2</v>
      </c>
      <c r="CE96">
        <v>7.952465078133035E-2</v>
      </c>
      <c r="CF96">
        <v>0.11247337921517588</v>
      </c>
      <c r="CG96">
        <v>7.5086306733879934E-2</v>
      </c>
      <c r="CH96">
        <v>0.1263844972266101</v>
      </c>
      <c r="CI96">
        <v>9.5006247887667011E-2</v>
      </c>
      <c r="CJ96">
        <v>9.9153705184088545E-2</v>
      </c>
      <c r="CK96">
        <v>0.13689007388703719</v>
      </c>
      <c r="CL96">
        <v>8.137479892600763E-2</v>
      </c>
      <c r="CM96">
        <v>0.11575745985611272</v>
      </c>
      <c r="CT96" s="33" t="s">
        <v>184</v>
      </c>
      <c r="CU96">
        <v>7.2505222134496672E-2</v>
      </c>
      <c r="CV96">
        <v>7.2259914898410327E-2</v>
      </c>
      <c r="CW96">
        <v>0.10940964689885156</v>
      </c>
      <c r="CX96">
        <v>7.8844945337745109E-2</v>
      </c>
      <c r="CY96">
        <v>0.13056809769103395</v>
      </c>
      <c r="CZ96">
        <v>9.3815516421785122E-2</v>
      </c>
      <c r="DA96">
        <v>9.5591701729603129E-2</v>
      </c>
      <c r="DB96">
        <v>0.14349911967260184</v>
      </c>
      <c r="DC96">
        <v>8.9364060169692366E-2</v>
      </c>
      <c r="DD96">
        <v>0.11414177504577994</v>
      </c>
      <c r="DI96" s="33" t="s">
        <v>184</v>
      </c>
      <c r="DJ96">
        <v>6.7654072802736859E-2</v>
      </c>
      <c r="DK96">
        <v>6.2243176365301349E-2</v>
      </c>
      <c r="DL96">
        <v>0.10018481223013695</v>
      </c>
      <c r="DM96">
        <v>6.7126910507543436E-2</v>
      </c>
      <c r="DN96">
        <v>0.14437512331874369</v>
      </c>
      <c r="DO96">
        <v>0.10941748260023273</v>
      </c>
      <c r="DP96">
        <v>0.10793388417386282</v>
      </c>
      <c r="DQ96">
        <v>0.15742177931651061</v>
      </c>
      <c r="DR96">
        <v>8.3976404160596277E-2</v>
      </c>
      <c r="DS96">
        <v>9.9666354524335407E-2</v>
      </c>
      <c r="DX96" s="33" t="s">
        <v>184</v>
      </c>
      <c r="DY96">
        <v>7.4013542477405908E-2</v>
      </c>
      <c r="DZ96">
        <v>7.2224168909106157E-2</v>
      </c>
      <c r="EA96">
        <v>0.10612826928470931</v>
      </c>
      <c r="EB96">
        <v>7.3935142777075524E-2</v>
      </c>
      <c r="EC96">
        <v>0.14094826403058736</v>
      </c>
      <c r="ED96">
        <v>0.1039343095503206</v>
      </c>
      <c r="EE96">
        <v>0.10600936993496526</v>
      </c>
      <c r="EF96">
        <v>0.14680566441114959</v>
      </c>
      <c r="EG96">
        <v>7.4156933175797524E-2</v>
      </c>
      <c r="EH96">
        <v>0.10184433544888277</v>
      </c>
    </row>
    <row r="97" spans="81:138" x14ac:dyDescent="0.35">
      <c r="CC97" s="33" t="s">
        <v>185</v>
      </c>
      <c r="CD97">
        <f>$CD$88*CD96</f>
        <v>91.094473958975783</v>
      </c>
      <c r="CE97">
        <f t="shared" ref="CE97:CM97" si="39">$CD$88*CE96</f>
        <v>92.461515745531941</v>
      </c>
      <c r="CF97">
        <f t="shared" si="39"/>
        <v>130.77025829201884</v>
      </c>
      <c r="CG97">
        <f t="shared" si="39"/>
        <v>87.301153342233377</v>
      </c>
      <c r="CH97">
        <f t="shared" si="39"/>
        <v>146.9444010818938</v>
      </c>
      <c r="CI97">
        <f t="shared" si="39"/>
        <v>110.46161911661878</v>
      </c>
      <c r="CJ97">
        <f t="shared" si="39"/>
        <v>115.28377406290657</v>
      </c>
      <c r="CK97">
        <f t="shared" si="39"/>
        <v>159.15899784227361</v>
      </c>
      <c r="CL97">
        <f t="shared" si="39"/>
        <v>94.612641215809461</v>
      </c>
      <c r="CM97">
        <f t="shared" si="39"/>
        <v>134.58858469657648</v>
      </c>
      <c r="CT97" s="33" t="s">
        <v>185</v>
      </c>
      <c r="CU97">
        <f>$CU$88*CU96</f>
        <v>118.17142787554049</v>
      </c>
      <c r="CV97">
        <f t="shared" ref="CV97:DD97" si="40">$CU$88*CV96</f>
        <v>117.7716179652591</v>
      </c>
      <c r="CW97">
        <f t="shared" si="40"/>
        <v>178.31948950397822</v>
      </c>
      <c r="CX97">
        <f t="shared" si="40"/>
        <v>128.50412007630158</v>
      </c>
      <c r="CY97">
        <f t="shared" si="40"/>
        <v>212.80423788677015</v>
      </c>
      <c r="CZ97">
        <f t="shared" si="40"/>
        <v>152.9036558481061</v>
      </c>
      <c r="DA97">
        <f t="shared" si="40"/>
        <v>155.79854186896483</v>
      </c>
      <c r="DB97">
        <f t="shared" si="40"/>
        <v>233.87964854639557</v>
      </c>
      <c r="DC97">
        <f t="shared" si="40"/>
        <v>145.64852406657027</v>
      </c>
      <c r="DD97">
        <f t="shared" si="40"/>
        <v>186.03206969544698</v>
      </c>
      <c r="DI97" s="33" t="s">
        <v>185</v>
      </c>
      <c r="DJ97">
        <f>$DJ$88*DJ96</f>
        <v>87.319584093880792</v>
      </c>
      <c r="DK97">
        <f t="shared" ref="DK97:DS97" si="41">$DJ$88*DK96</f>
        <v>80.335862243615239</v>
      </c>
      <c r="DL97">
        <f t="shared" si="41"/>
        <v>129.30627490774225</v>
      </c>
      <c r="DM97">
        <f t="shared" si="41"/>
        <v>86.639187623139378</v>
      </c>
      <c r="DN97">
        <f t="shared" si="41"/>
        <v>186.34171158407273</v>
      </c>
      <c r="DO97">
        <f t="shared" si="41"/>
        <v>141.22267407477136</v>
      </c>
      <c r="DP97">
        <f t="shared" si="41"/>
        <v>139.30782708646535</v>
      </c>
      <c r="DQ97">
        <f t="shared" si="41"/>
        <v>203.18073587848085</v>
      </c>
      <c r="DR97">
        <f t="shared" si="41"/>
        <v>108.38644860869735</v>
      </c>
      <c r="DS97">
        <f t="shared" si="41"/>
        <v>128.63711325397369</v>
      </c>
      <c r="DX97" s="33" t="s">
        <v>185</v>
      </c>
      <c r="DY97">
        <f>$DY$88*DY96</f>
        <v>84.700142997692012</v>
      </c>
      <c r="DZ97">
        <f t="shared" ref="DZ97:EH97" si="42">$DY$88*DZ96</f>
        <v>82.652406974820977</v>
      </c>
      <c r="EA97">
        <f t="shared" si="42"/>
        <v>121.45182197239832</v>
      </c>
      <c r="EB97">
        <f t="shared" si="42"/>
        <v>84.61042339224295</v>
      </c>
      <c r="EC97">
        <f t="shared" si="42"/>
        <v>161.29937466932637</v>
      </c>
      <c r="ED97">
        <f t="shared" si="42"/>
        <v>118.94108276152174</v>
      </c>
      <c r="EE97">
        <f t="shared" si="42"/>
        <v>121.31575509073639</v>
      </c>
      <c r="EF97">
        <f t="shared" si="42"/>
        <v>168.00250808548205</v>
      </c>
      <c r="EG97">
        <f t="shared" si="42"/>
        <v>84.864237462728809</v>
      </c>
      <c r="EH97">
        <f t="shared" si="42"/>
        <v>116.54934336724405</v>
      </c>
    </row>
    <row r="98" spans="81:138" x14ac:dyDescent="0.35">
      <c r="CC98" s="33" t="s">
        <v>93</v>
      </c>
      <c r="CD98">
        <v>1.6667933281438623E-7</v>
      </c>
      <c r="CE98">
        <v>6.6671733125754496E-8</v>
      </c>
      <c r="CF98">
        <v>1.2159584866475555E-4</v>
      </c>
      <c r="CG98">
        <v>5.4313074580330301E-2</v>
      </c>
      <c r="CH98">
        <v>0.2277950010699723</v>
      </c>
      <c r="CI98">
        <v>0.16905116521950664</v>
      </c>
      <c r="CJ98">
        <v>0.19209461638095093</v>
      </c>
      <c r="CK98">
        <v>0.2878488469167963</v>
      </c>
      <c r="CL98">
        <v>6.7136216184470007E-2</v>
      </c>
      <c r="CM98">
        <v>1.6392504482427232E-3</v>
      </c>
      <c r="CT98" s="33" t="s">
        <v>93</v>
      </c>
      <c r="CU98">
        <v>3.4447805093223261E-8</v>
      </c>
      <c r="CV98">
        <v>3.4447805093223261E-8</v>
      </c>
      <c r="CW98">
        <v>5.0197132026117341E-4</v>
      </c>
      <c r="CX98">
        <v>7.5953028988847732E-2</v>
      </c>
      <c r="CY98">
        <v>0.28128984720066313</v>
      </c>
      <c r="CZ98">
        <v>0.15151241588116815</v>
      </c>
      <c r="DA98">
        <v>0.16189099254230549</v>
      </c>
      <c r="DB98">
        <v>0.25750897462591038</v>
      </c>
      <c r="DC98">
        <v>6.7398145109063889E-2</v>
      </c>
      <c r="DD98">
        <v>3.9445554361699281E-3</v>
      </c>
      <c r="DI98" s="33" t="s">
        <v>93</v>
      </c>
      <c r="DJ98">
        <v>0</v>
      </c>
      <c r="DK98">
        <v>0</v>
      </c>
      <c r="DL98">
        <v>1.9870955903780234E-4</v>
      </c>
      <c r="DM98">
        <v>5.1181629257514932E-2</v>
      </c>
      <c r="DN98">
        <v>0.26404950089282531</v>
      </c>
      <c r="DO98">
        <v>0.1559399658655734</v>
      </c>
      <c r="DP98">
        <v>0.16763518613187231</v>
      </c>
      <c r="DQ98">
        <v>0.2839396065099874</v>
      </c>
      <c r="DR98">
        <v>7.3431975124716137E-2</v>
      </c>
      <c r="DS98">
        <v>3.6234266584728686E-3</v>
      </c>
      <c r="DX98" s="33" t="s">
        <v>93</v>
      </c>
      <c r="DY98">
        <v>0</v>
      </c>
      <c r="DZ98">
        <v>0</v>
      </c>
      <c r="EA98">
        <v>1.8279731308564181E-6</v>
      </c>
      <c r="EB98">
        <v>4.3942365928782298E-2</v>
      </c>
      <c r="EC98">
        <v>0.24380711427308555</v>
      </c>
      <c r="ED98">
        <v>0.17965150257764928</v>
      </c>
      <c r="EE98">
        <v>0.19527382545722585</v>
      </c>
      <c r="EF98">
        <v>0.2758121538730044</v>
      </c>
      <c r="EG98">
        <v>6.0745201212998499E-2</v>
      </c>
      <c r="EH98">
        <v>7.6600870412329774E-4</v>
      </c>
    </row>
    <row r="99" spans="81:138" x14ac:dyDescent="0.35">
      <c r="CC99" s="33" t="s">
        <v>189</v>
      </c>
      <c r="CD99">
        <f>$CD$89*CD98</f>
        <v>1.5538815220437941E-6</v>
      </c>
      <c r="CE99">
        <f t="shared" ref="CE99:CM99" si="43">$CD$89*CE98</f>
        <v>6.215526088175177E-7</v>
      </c>
      <c r="CF99">
        <f t="shared" si="43"/>
        <v>1.1335871052940115E-3</v>
      </c>
      <c r="CG99">
        <f t="shared" si="43"/>
        <v>0.50633801786178889</v>
      </c>
      <c r="CH99">
        <f t="shared" si="43"/>
        <v>2.1236372680394191</v>
      </c>
      <c r="CI99">
        <f t="shared" si="43"/>
        <v>1.5759931209173361</v>
      </c>
      <c r="CJ99">
        <f t="shared" si="43"/>
        <v>1.7908175527127361</v>
      </c>
      <c r="CK99">
        <f t="shared" si="43"/>
        <v>2.6834940889985202</v>
      </c>
      <c r="CL99">
        <f t="shared" si="43"/>
        <v>0.6258827895907042</v>
      </c>
      <c r="CM99">
        <f t="shared" si="43"/>
        <v>1.528204450135958E-2</v>
      </c>
      <c r="CT99" s="33" t="s">
        <v>189</v>
      </c>
      <c r="CU99">
        <f>$CU$89*CU98</f>
        <v>2.6754461955736732E-7</v>
      </c>
      <c r="CV99">
        <f t="shared" ref="CV99:DD99" si="44">$CU$89*CV98</f>
        <v>2.6754461955736732E-7</v>
      </c>
      <c r="CW99">
        <f t="shared" si="44"/>
        <v>3.8986439206951133E-3</v>
      </c>
      <c r="CX99">
        <f t="shared" si="44"/>
        <v>0.58990185848005072</v>
      </c>
      <c r="CY99">
        <f t="shared" si="44"/>
        <v>2.1846844799251501</v>
      </c>
      <c r="CZ99">
        <f t="shared" si="44"/>
        <v>1.176746430010406</v>
      </c>
      <c r="DA99">
        <f t="shared" si="44"/>
        <v>1.2573533754119059</v>
      </c>
      <c r="DB99">
        <f t="shared" si="44"/>
        <v>1.9999863695945705</v>
      </c>
      <c r="DC99">
        <f t="shared" si="44"/>
        <v>0.52345892701372954</v>
      </c>
      <c r="DD99">
        <f t="shared" si="44"/>
        <v>3.0636047220919775E-2</v>
      </c>
      <c r="DI99" s="33" t="s">
        <v>189</v>
      </c>
      <c r="DJ99">
        <f>$DJ$89*DJ98</f>
        <v>0</v>
      </c>
      <c r="DK99">
        <f t="shared" ref="DK99:DS99" si="45">$DJ$89*DK98</f>
        <v>0</v>
      </c>
      <c r="DL99">
        <f t="shared" si="45"/>
        <v>2.0896553627846311E-3</v>
      </c>
      <c r="DM99">
        <f t="shared" si="45"/>
        <v>0.53823261735322148</v>
      </c>
      <c r="DN99">
        <f t="shared" si="45"/>
        <v>2.7767786222922917</v>
      </c>
      <c r="DO99">
        <f t="shared" si="45"/>
        <v>1.6398848023282879</v>
      </c>
      <c r="DP99">
        <f t="shared" si="45"/>
        <v>1.7628732477093667</v>
      </c>
      <c r="DQ99">
        <f t="shared" si="45"/>
        <v>2.9859455394276093</v>
      </c>
      <c r="DR99">
        <f t="shared" si="45"/>
        <v>0.77222012550507935</v>
      </c>
      <c r="DS99">
        <f t="shared" si="45"/>
        <v>3.8104422279424358E-2</v>
      </c>
      <c r="DX99" s="33" t="s">
        <v>189</v>
      </c>
      <c r="DY99">
        <f>$DY$89*DY98</f>
        <v>0</v>
      </c>
      <c r="DZ99">
        <f t="shared" ref="DZ99:EH99" si="46">$DY$89*DZ98</f>
        <v>0</v>
      </c>
      <c r="EA99">
        <f t="shared" si="46"/>
        <v>1.7631095681486095E-5</v>
      </c>
      <c r="EB99">
        <f t="shared" si="46"/>
        <v>0.42383120686148085</v>
      </c>
      <c r="EC99">
        <f t="shared" si="46"/>
        <v>2.3515589408920183</v>
      </c>
      <c r="ED99">
        <f t="shared" si="46"/>
        <v>1.7327677184102301</v>
      </c>
      <c r="EE99">
        <f t="shared" si="46"/>
        <v>1.8834475423132429</v>
      </c>
      <c r="EF99">
        <f t="shared" si="46"/>
        <v>2.6602527099363971</v>
      </c>
      <c r="EG99">
        <f t="shared" si="46"/>
        <v>0.58589726331246939</v>
      </c>
      <c r="EH99">
        <f t="shared" si="46"/>
        <v>7.3882775010601937E-3</v>
      </c>
    </row>
    <row r="100" spans="81:138" x14ac:dyDescent="0.35">
      <c r="CC100" s="33" t="s">
        <v>172</v>
      </c>
      <c r="CD100">
        <f>$CD$91/10</f>
        <v>1570.2387096774194</v>
      </c>
      <c r="CE100">
        <f t="shared" ref="CE100:CM100" si="47">$CD$91/10</f>
        <v>1570.2387096774194</v>
      </c>
      <c r="CF100">
        <f t="shared" si="47"/>
        <v>1570.2387096774194</v>
      </c>
      <c r="CG100">
        <f t="shared" si="47"/>
        <v>1570.2387096774194</v>
      </c>
      <c r="CH100">
        <f t="shared" si="47"/>
        <v>1570.2387096774194</v>
      </c>
      <c r="CI100">
        <f t="shared" si="47"/>
        <v>1570.2387096774194</v>
      </c>
      <c r="CJ100">
        <f t="shared" si="47"/>
        <v>1570.2387096774194</v>
      </c>
      <c r="CK100">
        <f t="shared" si="47"/>
        <v>1570.2387096774194</v>
      </c>
      <c r="CL100">
        <f t="shared" si="47"/>
        <v>1570.2387096774194</v>
      </c>
      <c r="CM100">
        <f t="shared" si="47"/>
        <v>1570.2387096774194</v>
      </c>
      <c r="CT100" s="33" t="s">
        <v>172</v>
      </c>
      <c r="CU100">
        <f>$CU$91/10</f>
        <v>1318.27</v>
      </c>
      <c r="CV100">
        <f t="shared" ref="CV100:DD100" si="48">$CU$91/10</f>
        <v>1318.27</v>
      </c>
      <c r="CW100">
        <f t="shared" si="48"/>
        <v>1318.27</v>
      </c>
      <c r="CX100">
        <f t="shared" si="48"/>
        <v>1318.27</v>
      </c>
      <c r="CY100">
        <f t="shared" si="48"/>
        <v>1318.27</v>
      </c>
      <c r="CZ100">
        <f t="shared" si="48"/>
        <v>1318.27</v>
      </c>
      <c r="DA100">
        <f t="shared" si="48"/>
        <v>1318.27</v>
      </c>
      <c r="DB100">
        <f t="shared" si="48"/>
        <v>1318.27</v>
      </c>
      <c r="DC100">
        <f t="shared" si="48"/>
        <v>1318.27</v>
      </c>
      <c r="DD100">
        <f t="shared" si="48"/>
        <v>1318.27</v>
      </c>
      <c r="DI100" s="33" t="s">
        <v>172</v>
      </c>
      <c r="DJ100">
        <f>$DJ$91/10</f>
        <v>618.87096774193549</v>
      </c>
      <c r="DK100">
        <f t="shared" ref="DK100:DS100" si="49">$DJ$91/10</f>
        <v>618.87096774193549</v>
      </c>
      <c r="DL100">
        <f t="shared" si="49"/>
        <v>618.87096774193549</v>
      </c>
      <c r="DM100">
        <f t="shared" si="49"/>
        <v>618.87096774193549</v>
      </c>
      <c r="DN100">
        <f t="shared" si="49"/>
        <v>618.87096774193549</v>
      </c>
      <c r="DO100">
        <f t="shared" si="49"/>
        <v>618.87096774193549</v>
      </c>
      <c r="DP100">
        <f t="shared" si="49"/>
        <v>618.87096774193549</v>
      </c>
      <c r="DQ100">
        <f t="shared" si="49"/>
        <v>618.87096774193549</v>
      </c>
      <c r="DR100">
        <f t="shared" si="49"/>
        <v>618.87096774193549</v>
      </c>
      <c r="DS100">
        <f t="shared" si="49"/>
        <v>618.87096774193549</v>
      </c>
      <c r="DX100" s="33" t="s">
        <v>172</v>
      </c>
      <c r="DY100">
        <f>$DY$91/10</f>
        <v>635.85483870967744</v>
      </c>
      <c r="DZ100">
        <f t="shared" ref="DZ100:EH100" si="50">$DY$91/10</f>
        <v>635.85483870967744</v>
      </c>
      <c r="EA100">
        <f t="shared" si="50"/>
        <v>635.85483870967744</v>
      </c>
      <c r="EB100">
        <f t="shared" si="50"/>
        <v>635.85483870967744</v>
      </c>
      <c r="EC100">
        <f t="shared" si="50"/>
        <v>635.85483870967744</v>
      </c>
      <c r="ED100">
        <f t="shared" si="50"/>
        <v>635.85483870967744</v>
      </c>
      <c r="EE100">
        <f t="shared" si="50"/>
        <v>635.85483870967744</v>
      </c>
      <c r="EF100">
        <f t="shared" si="50"/>
        <v>635.85483870967744</v>
      </c>
      <c r="EG100">
        <f t="shared" si="50"/>
        <v>635.85483870967744</v>
      </c>
      <c r="EH100">
        <f t="shared" si="50"/>
        <v>635.85483870967744</v>
      </c>
    </row>
    <row r="101" spans="81:138" x14ac:dyDescent="0.35">
      <c r="CC101" s="33" t="s">
        <v>170</v>
      </c>
      <c r="CD101">
        <v>0</v>
      </c>
      <c r="CE101">
        <v>0</v>
      </c>
      <c r="CF101">
        <v>0</v>
      </c>
      <c r="CG101">
        <v>0</v>
      </c>
      <c r="CH101">
        <v>0</v>
      </c>
      <c r="CI101">
        <v>0</v>
      </c>
      <c r="CJ101">
        <v>0</v>
      </c>
      <c r="CK101">
        <v>0</v>
      </c>
      <c r="CL101">
        <v>0</v>
      </c>
      <c r="CM101">
        <v>0</v>
      </c>
      <c r="CT101" s="33" t="s">
        <v>170</v>
      </c>
      <c r="CU101">
        <v>0</v>
      </c>
      <c r="CV101">
        <v>0</v>
      </c>
      <c r="CW101">
        <v>0</v>
      </c>
      <c r="CX101">
        <v>0</v>
      </c>
      <c r="CY101">
        <v>0</v>
      </c>
      <c r="CZ101">
        <v>0</v>
      </c>
      <c r="DA101">
        <v>0</v>
      </c>
      <c r="DB101">
        <v>0</v>
      </c>
      <c r="DC101">
        <v>0</v>
      </c>
      <c r="DD101">
        <v>0</v>
      </c>
      <c r="DI101" s="33" t="s">
        <v>170</v>
      </c>
      <c r="DJ101">
        <v>0</v>
      </c>
      <c r="DK101">
        <v>0</v>
      </c>
      <c r="DL101">
        <v>0</v>
      </c>
      <c r="DM101">
        <v>0</v>
      </c>
      <c r="DN101">
        <v>0</v>
      </c>
      <c r="DO101">
        <v>0</v>
      </c>
      <c r="DP101">
        <v>0</v>
      </c>
      <c r="DQ101">
        <v>0</v>
      </c>
      <c r="DR101">
        <v>0</v>
      </c>
      <c r="DS101">
        <v>0</v>
      </c>
      <c r="DX101" s="33" t="s">
        <v>170</v>
      </c>
      <c r="DY101">
        <v>0</v>
      </c>
      <c r="DZ101">
        <v>0</v>
      </c>
      <c r="EA101">
        <v>0</v>
      </c>
      <c r="EB101">
        <v>0</v>
      </c>
      <c r="EC101">
        <v>0</v>
      </c>
      <c r="ED101">
        <v>0</v>
      </c>
      <c r="EE101">
        <v>0</v>
      </c>
      <c r="EF101">
        <v>0</v>
      </c>
      <c r="EG101">
        <v>0</v>
      </c>
      <c r="EH101">
        <v>0</v>
      </c>
    </row>
    <row r="102" spans="81:138" x14ac:dyDescent="0.35">
      <c r="CC102" s="33"/>
      <c r="CT102" s="33"/>
      <c r="DI102" s="33"/>
      <c r="DX102" s="33"/>
    </row>
    <row r="103" spans="81:138" x14ac:dyDescent="0.35">
      <c r="CC103" s="33" t="s">
        <v>194</v>
      </c>
      <c r="CD103">
        <f t="shared" ref="CD103:CM103" si="51">CD97+CD99+CD100+CD101</f>
        <v>1661.3331851902767</v>
      </c>
      <c r="CE103">
        <f t="shared" si="51"/>
        <v>1662.700226044504</v>
      </c>
      <c r="CF103">
        <f t="shared" si="51"/>
        <v>1701.0101015565435</v>
      </c>
      <c r="CG103">
        <f t="shared" si="51"/>
        <v>1658.0462010375145</v>
      </c>
      <c r="CH103">
        <f t="shared" si="51"/>
        <v>1719.3067480273526</v>
      </c>
      <c r="CI103">
        <f t="shared" si="51"/>
        <v>1682.2763219149556</v>
      </c>
      <c r="CJ103">
        <f t="shared" si="51"/>
        <v>1687.3133012930386</v>
      </c>
      <c r="CK103">
        <f t="shared" si="51"/>
        <v>1732.0812016086916</v>
      </c>
      <c r="CL103">
        <f t="shared" si="51"/>
        <v>1665.4772336828196</v>
      </c>
      <c r="CM103">
        <f t="shared" si="51"/>
        <v>1704.8425764184972</v>
      </c>
      <c r="CT103" s="33" t="s">
        <v>194</v>
      </c>
      <c r="CU103">
        <f t="shared" ref="CU103:DD103" si="52">CU97+CU99+CU100+CU101</f>
        <v>1436.441428143085</v>
      </c>
      <c r="CV103">
        <f t="shared" si="52"/>
        <v>1436.0416182328038</v>
      </c>
      <c r="CW103">
        <f t="shared" si="52"/>
        <v>1496.5933881478988</v>
      </c>
      <c r="CX103">
        <f t="shared" si="52"/>
        <v>1447.3640219347817</v>
      </c>
      <c r="CY103">
        <f t="shared" si="52"/>
        <v>1533.2589223666953</v>
      </c>
      <c r="CZ103">
        <f t="shared" si="52"/>
        <v>1472.3504022781165</v>
      </c>
      <c r="DA103">
        <f t="shared" si="52"/>
        <v>1475.3258952443766</v>
      </c>
      <c r="DB103">
        <f t="shared" si="52"/>
        <v>1554.1496349159902</v>
      </c>
      <c r="DC103">
        <f t="shared" si="52"/>
        <v>1464.4419829935839</v>
      </c>
      <c r="DD103">
        <f t="shared" si="52"/>
        <v>1504.3327057426679</v>
      </c>
      <c r="DI103" s="33" t="s">
        <v>194</v>
      </c>
      <c r="DJ103">
        <f t="shared" ref="DJ103:DS103" si="53">DJ97+DJ99+DJ100+DJ101</f>
        <v>706.19055183581622</v>
      </c>
      <c r="DK103">
        <f t="shared" si="53"/>
        <v>699.20682998555071</v>
      </c>
      <c r="DL103">
        <f t="shared" si="53"/>
        <v>748.17933230504059</v>
      </c>
      <c r="DM103">
        <f t="shared" si="53"/>
        <v>706.04838798242804</v>
      </c>
      <c r="DN103">
        <f t="shared" si="53"/>
        <v>807.98945794830047</v>
      </c>
      <c r="DO103">
        <f t="shared" si="53"/>
        <v>761.73352661903516</v>
      </c>
      <c r="DP103">
        <f t="shared" si="53"/>
        <v>759.9416680761102</v>
      </c>
      <c r="DQ103">
        <f t="shared" si="53"/>
        <v>825.03764915984391</v>
      </c>
      <c r="DR103">
        <f t="shared" si="53"/>
        <v>728.02963647613797</v>
      </c>
      <c r="DS103">
        <f t="shared" si="53"/>
        <v>747.54618541818854</v>
      </c>
      <c r="DX103" s="33" t="s">
        <v>194</v>
      </c>
      <c r="DY103">
        <f t="shared" ref="DY103:EH103" si="54">DY97+DY99+DY100+DY101</f>
        <v>720.55498170736951</v>
      </c>
      <c r="DZ103">
        <f t="shared" si="54"/>
        <v>718.50724568449846</v>
      </c>
      <c r="EA103">
        <f t="shared" si="54"/>
        <v>757.30667831317146</v>
      </c>
      <c r="EB103">
        <f t="shared" si="54"/>
        <v>720.88909330878187</v>
      </c>
      <c r="EC103">
        <f t="shared" si="54"/>
        <v>799.50577231989587</v>
      </c>
      <c r="ED103">
        <f t="shared" si="54"/>
        <v>756.52868918960939</v>
      </c>
      <c r="EE103">
        <f t="shared" si="54"/>
        <v>759.05404134272703</v>
      </c>
      <c r="EF103">
        <f t="shared" si="54"/>
        <v>806.51759950509586</v>
      </c>
      <c r="EG103">
        <f t="shared" si="54"/>
        <v>721.30497343571869</v>
      </c>
      <c r="EH103">
        <f t="shared" si="54"/>
        <v>752.41157035442257</v>
      </c>
    </row>
    <row r="109" spans="81:138" x14ac:dyDescent="0.35">
      <c r="DF109" s="63"/>
    </row>
    <row r="121" spans="80:127" x14ac:dyDescent="0.35">
      <c r="CC121" t="s">
        <v>335</v>
      </c>
      <c r="CD121">
        <f>CD103-CD95</f>
        <v>91.768243011335926</v>
      </c>
      <c r="CE121">
        <f t="shared" ref="CE121:CM121" si="55">CE103-CE95</f>
        <v>223.93236238047461</v>
      </c>
      <c r="CF121">
        <f t="shared" si="55"/>
        <v>262.24223789251414</v>
      </c>
      <c r="CG121">
        <f t="shared" si="55"/>
        <v>88.48125885857371</v>
      </c>
      <c r="CH121">
        <f t="shared" si="55"/>
        <v>-177.25089043886783</v>
      </c>
      <c r="CI121">
        <f t="shared" si="55"/>
        <v>-148.88277729380866</v>
      </c>
      <c r="CJ121">
        <f t="shared" si="55"/>
        <v>-13.048719400814207</v>
      </c>
      <c r="CK121">
        <f t="shared" si="55"/>
        <v>31.719180914838716</v>
      </c>
      <c r="CL121">
        <f t="shared" si="55"/>
        <v>-558.07310107067997</v>
      </c>
      <c r="CM121">
        <f t="shared" si="55"/>
        <v>-257.11360130517915</v>
      </c>
    </row>
    <row r="122" spans="80:127" x14ac:dyDescent="0.35">
      <c r="CC122" t="s">
        <v>388</v>
      </c>
      <c r="CD122">
        <f>SUM(CD121:CM121)</f>
        <v>-456.2258064516127</v>
      </c>
    </row>
    <row r="124" spans="80:127" ht="14.5" customHeight="1" x14ac:dyDescent="0.35">
      <c r="CC124" t="s">
        <v>389</v>
      </c>
      <c r="CE124">
        <f>666.42/0.8</f>
        <v>833.02499999999986</v>
      </c>
      <c r="CG124" t="s">
        <v>276</v>
      </c>
      <c r="CH124">
        <f>ROUND(CE124/Batteries!B2,0)</f>
        <v>60</v>
      </c>
      <c r="CK124" s="153" t="s">
        <v>207</v>
      </c>
      <c r="CL124" s="154"/>
      <c r="CM124" s="100">
        <v>833.02499999999998</v>
      </c>
      <c r="CN124" s="27" t="s">
        <v>176</v>
      </c>
    </row>
    <row r="125" spans="80:127" x14ac:dyDescent="0.35">
      <c r="CG125" t="s">
        <v>390</v>
      </c>
      <c r="CH125">
        <f>ROUND(CE124/Batteries!B14,0)</f>
        <v>325</v>
      </c>
    </row>
    <row r="126" spans="80:127" x14ac:dyDescent="0.35">
      <c r="CG126" t="s">
        <v>391</v>
      </c>
      <c r="CH126">
        <f>ROUND(CE124/Batteries!B26,0)</f>
        <v>651</v>
      </c>
      <c r="CK126" s="25" t="s">
        <v>392</v>
      </c>
      <c r="CL126" s="25" t="s">
        <v>393</v>
      </c>
      <c r="CM126" s="25" t="s">
        <v>394</v>
      </c>
      <c r="CN126" s="25" t="s">
        <v>213</v>
      </c>
      <c r="CO126" s="25" t="s">
        <v>214</v>
      </c>
    </row>
    <row r="127" spans="80:127" x14ac:dyDescent="0.35">
      <c r="CB127" s="29" t="s">
        <v>187</v>
      </c>
      <c r="CG127" t="s">
        <v>277</v>
      </c>
      <c r="CH127">
        <f>CE124/Batteries!I4</f>
        <v>7.5729545454545439</v>
      </c>
      <c r="CI127" t="s">
        <v>259</v>
      </c>
      <c r="CK127" s="25">
        <v>60</v>
      </c>
      <c r="CL127" s="25">
        <v>325</v>
      </c>
      <c r="CM127" s="25">
        <v>651</v>
      </c>
      <c r="CN127" s="99">
        <v>7.5729545454545439</v>
      </c>
      <c r="CO127" s="99">
        <v>193.72674418604649</v>
      </c>
      <c r="CS127" s="29" t="s">
        <v>191</v>
      </c>
      <c r="DH127" s="29" t="s">
        <v>193</v>
      </c>
      <c r="DW127" s="29" t="s">
        <v>195</v>
      </c>
    </row>
    <row r="128" spans="80:127" x14ac:dyDescent="0.35">
      <c r="CG128" t="s">
        <v>278</v>
      </c>
      <c r="CH128">
        <f>CE124/Batteries!I23</f>
        <v>193.72674418604649</v>
      </c>
    </row>
    <row r="133" spans="81:140" x14ac:dyDescent="0.35">
      <c r="CC133" t="s">
        <v>181</v>
      </c>
      <c r="CD133">
        <f>BO44/30</f>
        <v>33289.300000000003</v>
      </c>
      <c r="CP133" s="63"/>
      <c r="CT133" t="s">
        <v>181</v>
      </c>
      <c r="CU133">
        <f>BP44/31</f>
        <v>31115.032258064515</v>
      </c>
      <c r="DF133" s="63"/>
      <c r="DI133" t="s">
        <v>181</v>
      </c>
      <c r="DJ133">
        <f>BQ44/30</f>
        <v>29874.133333333335</v>
      </c>
      <c r="DU133" s="63"/>
      <c r="DX133" t="s">
        <v>181</v>
      </c>
      <c r="DY133">
        <f>BR44/31</f>
        <v>28135.709677419356</v>
      </c>
    </row>
    <row r="134" spans="81:140" x14ac:dyDescent="0.35">
      <c r="CC134" t="s">
        <v>201</v>
      </c>
      <c r="CD134">
        <f>BO6/30</f>
        <v>2095.4</v>
      </c>
      <c r="CT134" t="s">
        <v>201</v>
      </c>
      <c r="CU134">
        <f>BP6/31</f>
        <v>2577.2580645161293</v>
      </c>
      <c r="DI134" t="s">
        <v>201</v>
      </c>
      <c r="DJ134">
        <f>BQ6/30</f>
        <v>3013.7</v>
      </c>
      <c r="DX134" t="s">
        <v>201</v>
      </c>
      <c r="DY134">
        <f>BR6/31</f>
        <v>1788.258064516129</v>
      </c>
    </row>
    <row r="135" spans="81:140" x14ac:dyDescent="0.35">
      <c r="CC135" t="s">
        <v>93</v>
      </c>
      <c r="CD135">
        <f>BO15/30</f>
        <v>8.1</v>
      </c>
      <c r="CT135" t="s">
        <v>93</v>
      </c>
      <c r="CU135">
        <f>BP15/31</f>
        <v>8.3548387096774199</v>
      </c>
      <c r="DF135" s="63"/>
      <c r="DI135" t="s">
        <v>93</v>
      </c>
      <c r="DJ135">
        <f>BQ15/30</f>
        <v>5.4</v>
      </c>
      <c r="DX135" t="s">
        <v>93</v>
      </c>
      <c r="DY135">
        <f>BR15/31</f>
        <v>3.5161290322580645</v>
      </c>
      <c r="EJ135" s="63"/>
    </row>
    <row r="136" spans="81:140" x14ac:dyDescent="0.35">
      <c r="CC136" t="s">
        <v>170</v>
      </c>
      <c r="CD136">
        <v>0</v>
      </c>
      <c r="CT136" t="s">
        <v>170</v>
      </c>
      <c r="CU136">
        <v>0</v>
      </c>
      <c r="DF136" s="63"/>
      <c r="DI136" t="s">
        <v>170</v>
      </c>
      <c r="DJ136">
        <v>0</v>
      </c>
      <c r="DU136" s="63"/>
      <c r="DX136" t="s">
        <v>170</v>
      </c>
      <c r="DY136">
        <v>0</v>
      </c>
      <c r="EJ136" s="63"/>
    </row>
    <row r="137" spans="81:140" x14ac:dyDescent="0.35">
      <c r="CC137" t="s">
        <v>172</v>
      </c>
      <c r="CD137">
        <f>BO10/30</f>
        <v>10633.333333333334</v>
      </c>
      <c r="CT137" t="s">
        <v>172</v>
      </c>
      <c r="CU137">
        <f>BP10/31</f>
        <v>12701.483870967742</v>
      </c>
      <c r="DF137" s="63"/>
      <c r="DI137" t="s">
        <v>172</v>
      </c>
      <c r="DJ137">
        <f>BQ10/30</f>
        <v>18097.433333333334</v>
      </c>
      <c r="DU137" s="63"/>
      <c r="DX137" t="s">
        <v>172</v>
      </c>
      <c r="DY137">
        <f>BR10/31</f>
        <v>20349.580645161292</v>
      </c>
      <c r="EJ137" s="63"/>
    </row>
    <row r="138" spans="81:140" x14ac:dyDescent="0.35">
      <c r="DU138" s="63"/>
    </row>
    <row r="139" spans="81:140" x14ac:dyDescent="0.35">
      <c r="CC139" s="33"/>
      <c r="CD139" t="s">
        <v>154</v>
      </c>
      <c r="CE139" t="s">
        <v>155</v>
      </c>
      <c r="CF139" t="s">
        <v>156</v>
      </c>
      <c r="CG139" t="s">
        <v>157</v>
      </c>
      <c r="CH139" t="s">
        <v>158</v>
      </c>
      <c r="CI139" t="s">
        <v>159</v>
      </c>
      <c r="CJ139" t="s">
        <v>160</v>
      </c>
      <c r="CK139" t="s">
        <v>161</v>
      </c>
      <c r="CL139" t="s">
        <v>162</v>
      </c>
      <c r="CM139" t="s">
        <v>163</v>
      </c>
      <c r="CT139" s="33"/>
      <c r="CU139" t="s">
        <v>154</v>
      </c>
      <c r="CV139" t="s">
        <v>155</v>
      </c>
      <c r="CW139" t="s">
        <v>156</v>
      </c>
      <c r="CX139" t="s">
        <v>157</v>
      </c>
      <c r="CY139" t="s">
        <v>158</v>
      </c>
      <c r="CZ139" t="s">
        <v>159</v>
      </c>
      <c r="DA139" t="s">
        <v>160</v>
      </c>
      <c r="DB139" t="s">
        <v>161</v>
      </c>
      <c r="DC139" t="s">
        <v>162</v>
      </c>
      <c r="DD139" t="s">
        <v>163</v>
      </c>
      <c r="DI139" s="33"/>
      <c r="DJ139" t="s">
        <v>154</v>
      </c>
      <c r="DK139" t="s">
        <v>155</v>
      </c>
      <c r="DL139" t="s">
        <v>156</v>
      </c>
      <c r="DM139" t="s">
        <v>157</v>
      </c>
      <c r="DN139" t="s">
        <v>158</v>
      </c>
      <c r="DO139" t="s">
        <v>159</v>
      </c>
      <c r="DP139" t="s">
        <v>160</v>
      </c>
      <c r="DQ139" t="s">
        <v>161</v>
      </c>
      <c r="DR139" t="s">
        <v>162</v>
      </c>
      <c r="DS139" t="s">
        <v>163</v>
      </c>
      <c r="DU139" s="63"/>
      <c r="DX139" s="33"/>
      <c r="DY139" t="s">
        <v>154</v>
      </c>
      <c r="DZ139" t="s">
        <v>155</v>
      </c>
      <c r="EA139" t="s">
        <v>156</v>
      </c>
      <c r="EB139" t="s">
        <v>157</v>
      </c>
      <c r="EC139" t="s">
        <v>158</v>
      </c>
      <c r="ED139" t="s">
        <v>159</v>
      </c>
      <c r="EE139" t="s">
        <v>160</v>
      </c>
      <c r="EF139" t="s">
        <v>161</v>
      </c>
      <c r="EG139" t="s">
        <v>162</v>
      </c>
      <c r="EH139" t="s">
        <v>163</v>
      </c>
    </row>
    <row r="140" spans="81:140" x14ac:dyDescent="0.35">
      <c r="CC140" s="33" t="s">
        <v>181</v>
      </c>
      <c r="CD140">
        <v>9.2715231788079472E-2</v>
      </c>
      <c r="CE140">
        <v>8.6092715231788089E-2</v>
      </c>
      <c r="CF140">
        <v>8.6092715231788089E-2</v>
      </c>
      <c r="CG140">
        <v>8.6092715231788089E-2</v>
      </c>
      <c r="CH140">
        <v>0.10596026490066227</v>
      </c>
      <c r="CI140">
        <v>0.10596026490066227</v>
      </c>
      <c r="CJ140">
        <v>0.10596026490066227</v>
      </c>
      <c r="CK140">
        <v>9.602649006622517E-2</v>
      </c>
      <c r="CL140">
        <v>0.11920529801324505</v>
      </c>
      <c r="CM140">
        <v>0.11589403973509935</v>
      </c>
      <c r="CT140" s="33" t="s">
        <v>181</v>
      </c>
      <c r="CU140">
        <v>9.3189964157706098E-2</v>
      </c>
      <c r="CV140">
        <v>8.6021505376344093E-2</v>
      </c>
      <c r="CW140">
        <v>8.6021505376344093E-2</v>
      </c>
      <c r="CX140">
        <v>8.6021505376344093E-2</v>
      </c>
      <c r="CY140">
        <v>0.1039426523297491</v>
      </c>
      <c r="CZ140">
        <v>0.1039426523297491</v>
      </c>
      <c r="DA140">
        <v>0.1039426523297491</v>
      </c>
      <c r="DB140">
        <v>0.1003584229390681</v>
      </c>
      <c r="DC140">
        <v>0.12186379928315412</v>
      </c>
      <c r="DD140">
        <v>0.11469534050179213</v>
      </c>
      <c r="DI140" s="33" t="s">
        <v>181</v>
      </c>
      <c r="DJ140">
        <v>8.9347079037800689E-2</v>
      </c>
      <c r="DK140">
        <v>8.247422680412371E-2</v>
      </c>
      <c r="DL140">
        <v>8.247422680412371E-2</v>
      </c>
      <c r="DM140">
        <v>8.9347079037800689E-2</v>
      </c>
      <c r="DN140">
        <v>0.10309278350515463</v>
      </c>
      <c r="DO140">
        <v>9.9656357388316144E-2</v>
      </c>
      <c r="DP140">
        <v>9.6219931271477654E-2</v>
      </c>
      <c r="DQ140">
        <v>0.12371134020618556</v>
      </c>
      <c r="DR140">
        <v>0.12371134020618556</v>
      </c>
      <c r="DS140">
        <v>0.10996563573883161</v>
      </c>
      <c r="DU140" s="63"/>
      <c r="DX140" s="33" t="s">
        <v>181</v>
      </c>
      <c r="DY140">
        <v>8.9347079037800689E-2</v>
      </c>
      <c r="DZ140">
        <v>8.247422680412371E-2</v>
      </c>
      <c r="EA140">
        <v>8.247422680412371E-2</v>
      </c>
      <c r="EB140">
        <v>8.9347079037800689E-2</v>
      </c>
      <c r="EC140">
        <v>9.9656357388316144E-2</v>
      </c>
      <c r="ED140">
        <v>9.9656357388316144E-2</v>
      </c>
      <c r="EE140">
        <v>9.9656357388316144E-2</v>
      </c>
      <c r="EF140">
        <v>0.10309278350515463</v>
      </c>
      <c r="EG140">
        <v>0.13058419243986252</v>
      </c>
      <c r="EH140">
        <v>0.12371134020618556</v>
      </c>
    </row>
    <row r="141" spans="81:140" x14ac:dyDescent="0.35">
      <c r="CC141" s="33" t="s">
        <v>181</v>
      </c>
      <c r="CD141">
        <f>$CD$133*CD140</f>
        <v>3086.4251655629141</v>
      </c>
      <c r="CE141">
        <f t="shared" ref="CE141:CM141" si="56">$CD$133*CE140</f>
        <v>2865.9662251655636</v>
      </c>
      <c r="CF141">
        <f t="shared" si="56"/>
        <v>2865.9662251655636</v>
      </c>
      <c r="CG141">
        <f t="shared" si="56"/>
        <v>2865.9662251655636</v>
      </c>
      <c r="CH141">
        <f t="shared" si="56"/>
        <v>3527.3430463576165</v>
      </c>
      <c r="CI141">
        <f t="shared" si="56"/>
        <v>3527.3430463576165</v>
      </c>
      <c r="CJ141">
        <f t="shared" si="56"/>
        <v>3527.3430463576165</v>
      </c>
      <c r="CK141">
        <f t="shared" si="56"/>
        <v>3196.6546357615898</v>
      </c>
      <c r="CL141">
        <f t="shared" si="56"/>
        <v>3968.2609271523188</v>
      </c>
      <c r="CM141">
        <f t="shared" si="56"/>
        <v>3858.0314569536431</v>
      </c>
      <c r="CT141" s="33" t="s">
        <v>181</v>
      </c>
      <c r="CU141">
        <f>$CU$133*CU140</f>
        <v>2899.6087408949011</v>
      </c>
      <c r="CV141">
        <f t="shared" ref="CV141:DD141" si="57">$CU$133*CV140</f>
        <v>2676.5619146722165</v>
      </c>
      <c r="CW141">
        <f t="shared" si="57"/>
        <v>2676.5619146722165</v>
      </c>
      <c r="CX141">
        <f t="shared" si="57"/>
        <v>2676.5619146722165</v>
      </c>
      <c r="CY141">
        <f t="shared" si="57"/>
        <v>3234.1789802289281</v>
      </c>
      <c r="CZ141">
        <f t="shared" si="57"/>
        <v>3234.1789802289281</v>
      </c>
      <c r="DA141">
        <f t="shared" si="57"/>
        <v>3234.1789802289281</v>
      </c>
      <c r="DB141">
        <f t="shared" si="57"/>
        <v>3122.6555671175856</v>
      </c>
      <c r="DC141">
        <f t="shared" si="57"/>
        <v>3791.7960457856398</v>
      </c>
      <c r="DD141">
        <f t="shared" si="57"/>
        <v>3568.7492195629557</v>
      </c>
      <c r="DI141" s="33" t="s">
        <v>181</v>
      </c>
      <c r="DJ141">
        <f>$DJ$133*DJ140</f>
        <v>2669.1665521191298</v>
      </c>
      <c r="DK141">
        <f t="shared" ref="DK141:DS141" si="58">$DJ$133*DK140</f>
        <v>2463.8460481099655</v>
      </c>
      <c r="DL141">
        <f t="shared" si="58"/>
        <v>2463.8460481099655</v>
      </c>
      <c r="DM141">
        <f t="shared" si="58"/>
        <v>2669.1665521191298</v>
      </c>
      <c r="DN141">
        <f t="shared" si="58"/>
        <v>3079.8075601374571</v>
      </c>
      <c r="DO141">
        <f t="shared" si="58"/>
        <v>2977.147308132875</v>
      </c>
      <c r="DP141">
        <f t="shared" si="58"/>
        <v>2874.4870561282933</v>
      </c>
      <c r="DQ141">
        <f t="shared" si="58"/>
        <v>3695.7690721649483</v>
      </c>
      <c r="DR141">
        <f t="shared" si="58"/>
        <v>3695.7690721649483</v>
      </c>
      <c r="DS141">
        <f t="shared" si="58"/>
        <v>3285.128064146621</v>
      </c>
      <c r="DX141" s="33" t="s">
        <v>181</v>
      </c>
      <c r="DY141">
        <f>$DY$134*DY140</f>
        <v>159.77563463030705</v>
      </c>
      <c r="DZ141">
        <f t="shared" ref="DZ141:EH141" si="59">$DY$134*DZ140</f>
        <v>147.48520119720652</v>
      </c>
      <c r="EA141">
        <f t="shared" si="59"/>
        <v>147.48520119720652</v>
      </c>
      <c r="EB141">
        <f t="shared" si="59"/>
        <v>159.77563463030705</v>
      </c>
      <c r="EC141">
        <f t="shared" si="59"/>
        <v>178.21128477995785</v>
      </c>
      <c r="ED141">
        <f t="shared" si="59"/>
        <v>178.21128477995785</v>
      </c>
      <c r="EE141">
        <f t="shared" si="59"/>
        <v>178.21128477995785</v>
      </c>
      <c r="EF141">
        <f t="shared" si="59"/>
        <v>184.35650149650814</v>
      </c>
      <c r="EG141">
        <f t="shared" si="59"/>
        <v>233.51823522891027</v>
      </c>
      <c r="EH141">
        <f t="shared" si="59"/>
        <v>221.22780179580977</v>
      </c>
    </row>
    <row r="142" spans="81:140" x14ac:dyDescent="0.35">
      <c r="CC142" s="33" t="s">
        <v>184</v>
      </c>
      <c r="CD142">
        <v>7.9397395311792074E-2</v>
      </c>
      <c r="CE142">
        <v>7.6677485065383327E-2</v>
      </c>
      <c r="CF142">
        <v>0.11396112109905183</v>
      </c>
      <c r="CG142">
        <v>7.5158452346941615E-2</v>
      </c>
      <c r="CH142">
        <v>0.12778632283781924</v>
      </c>
      <c r="CI142">
        <v>9.1066612670865119E-2</v>
      </c>
      <c r="CJ142">
        <v>9.6249600402211005E-2</v>
      </c>
      <c r="CK142">
        <v>0.13866925038500866</v>
      </c>
      <c r="CL142">
        <v>8.0964443892943369E-2</v>
      </c>
      <c r="CM142">
        <v>0.12006931598798368</v>
      </c>
      <c r="CT142" s="33" t="s">
        <v>184</v>
      </c>
      <c r="CU142">
        <v>7.6619051153292692E-2</v>
      </c>
      <c r="CV142">
        <v>8.2220707070138732E-2</v>
      </c>
      <c r="CW142">
        <v>0.12755908028809707</v>
      </c>
      <c r="CX142">
        <v>8.1772772917784536E-2</v>
      </c>
      <c r="CY142">
        <v>0.1281580639912053</v>
      </c>
      <c r="CZ142">
        <v>9.2000032830664033E-2</v>
      </c>
      <c r="DA142">
        <v>9.0301045945394481E-2</v>
      </c>
      <c r="DB142">
        <v>0.1255138847629251</v>
      </c>
      <c r="DC142">
        <v>7.8142711137096338E-2</v>
      </c>
      <c r="DD142">
        <v>0.11771264990340186</v>
      </c>
      <c r="DI142" s="33" t="s">
        <v>184</v>
      </c>
      <c r="DJ142">
        <v>9.0199740284081051E-2</v>
      </c>
      <c r="DK142">
        <v>8.4370858267400317E-2</v>
      </c>
      <c r="DL142">
        <v>0.11682363414862715</v>
      </c>
      <c r="DM142">
        <v>7.1950011379305748E-2</v>
      </c>
      <c r="DN142">
        <v>0.11073035061649067</v>
      </c>
      <c r="DO142">
        <v>8.3398931684003391E-2</v>
      </c>
      <c r="DP142">
        <v>9.0741930733496692E-2</v>
      </c>
      <c r="DQ142">
        <v>0.13100091034445832</v>
      </c>
      <c r="DR142">
        <v>8.3926395973064546E-2</v>
      </c>
      <c r="DS142">
        <v>0.13685723656907242</v>
      </c>
      <c r="DX142" s="33" t="s">
        <v>184</v>
      </c>
      <c r="DY142">
        <v>7.5537468007057559E-2</v>
      </c>
      <c r="DZ142">
        <v>7.7803314119537614E-2</v>
      </c>
      <c r="EA142">
        <v>0.12075223946347316</v>
      </c>
      <c r="EB142">
        <v>8.2920362116533475E-2</v>
      </c>
      <c r="EC142">
        <v>0.130606744051324</v>
      </c>
      <c r="ED142">
        <v>9.0438807162156243E-2</v>
      </c>
      <c r="EE142">
        <v>9.2724888401881728E-2</v>
      </c>
      <c r="EF142">
        <v>0.12802518125957793</v>
      </c>
      <c r="EG142">
        <v>8.597879114646817E-2</v>
      </c>
      <c r="EH142">
        <v>0.1152122042719899</v>
      </c>
    </row>
    <row r="143" spans="81:140" x14ac:dyDescent="0.35">
      <c r="CC143" s="33" t="s">
        <v>185</v>
      </c>
      <c r="CD143">
        <f>$CD$134*CD142</f>
        <v>166.36930213632911</v>
      </c>
      <c r="CE143">
        <f t="shared" ref="CE143:CM143" si="60">$CD$134*CE142</f>
        <v>160.67000220600423</v>
      </c>
      <c r="CF143">
        <f t="shared" si="60"/>
        <v>238.79413315095323</v>
      </c>
      <c r="CG143">
        <f t="shared" si="60"/>
        <v>157.48702104778147</v>
      </c>
      <c r="CH143">
        <f t="shared" si="60"/>
        <v>267.76346087436644</v>
      </c>
      <c r="CI143">
        <f t="shared" si="60"/>
        <v>190.82098019053078</v>
      </c>
      <c r="CJ143">
        <f t="shared" si="60"/>
        <v>201.68141268279294</v>
      </c>
      <c r="CK143">
        <f t="shared" si="60"/>
        <v>290.56754725674716</v>
      </c>
      <c r="CL143">
        <f t="shared" si="60"/>
        <v>169.65289573327354</v>
      </c>
      <c r="CM143">
        <f t="shared" si="60"/>
        <v>251.593244721221</v>
      </c>
      <c r="CT143" s="33" t="s">
        <v>185</v>
      </c>
      <c r="CU143">
        <f>$CU$134*CU142</f>
        <v>197.46706748039742</v>
      </c>
      <c r="CV143">
        <f t="shared" ref="CV143:DD143" si="61">$CU$134*CV142</f>
        <v>211.90398036673338</v>
      </c>
      <c r="CW143">
        <f t="shared" si="61"/>
        <v>328.75266837475857</v>
      </c>
      <c r="CX143">
        <f t="shared" si="61"/>
        <v>210.74953846020634</v>
      </c>
      <c r="CY143">
        <f t="shared" si="61"/>
        <v>330.29640395410803</v>
      </c>
      <c r="CZ143">
        <f t="shared" si="61"/>
        <v>237.10782654857752</v>
      </c>
      <c r="DA143">
        <f t="shared" si="61"/>
        <v>232.72909889700944</v>
      </c>
      <c r="DB143">
        <f t="shared" si="61"/>
        <v>323.48167171399683</v>
      </c>
      <c r="DC143">
        <f t="shared" si="61"/>
        <v>201.39393246123589</v>
      </c>
      <c r="DD143">
        <f t="shared" si="61"/>
        <v>303.37587625910618</v>
      </c>
      <c r="DI143" s="33" t="s">
        <v>185</v>
      </c>
      <c r="DJ143">
        <f>$DJ$134*DJ142</f>
        <v>271.83495729413505</v>
      </c>
      <c r="DK143">
        <f t="shared" ref="DK143:DS143" si="62">$DJ$134*DK142</f>
        <v>254.26845556046433</v>
      </c>
      <c r="DL143">
        <f t="shared" si="62"/>
        <v>352.07138623371759</v>
      </c>
      <c r="DM143">
        <f t="shared" si="62"/>
        <v>216.83574929381371</v>
      </c>
      <c r="DN143">
        <f t="shared" si="62"/>
        <v>333.70805765291789</v>
      </c>
      <c r="DO143">
        <f t="shared" si="62"/>
        <v>251.33936041608101</v>
      </c>
      <c r="DP143">
        <f t="shared" si="62"/>
        <v>273.46895665153897</v>
      </c>
      <c r="DQ143">
        <f t="shared" si="62"/>
        <v>394.79744350509401</v>
      </c>
      <c r="DR143">
        <f t="shared" si="62"/>
        <v>252.9289795440246</v>
      </c>
      <c r="DS143">
        <f t="shared" si="62"/>
        <v>412.44665384821354</v>
      </c>
      <c r="DX143" s="33" t="s">
        <v>185</v>
      </c>
      <c r="DY143">
        <f>$DY$134*DY142</f>
        <v>135.08048633674977</v>
      </c>
      <c r="DZ143">
        <f t="shared" ref="DZ143:EH143" si="63">$DY$134*DZ142</f>
        <v>139.13240392034476</v>
      </c>
      <c r="EA143">
        <f t="shared" si="63"/>
        <v>215.93616602893866</v>
      </c>
      <c r="EB143">
        <f t="shared" si="63"/>
        <v>148.2830062674887</v>
      </c>
      <c r="EC143">
        <f t="shared" si="63"/>
        <v>233.55856332997411</v>
      </c>
      <c r="ED143">
        <f t="shared" si="63"/>
        <v>161.72792625294494</v>
      </c>
      <c r="EE143">
        <f t="shared" si="63"/>
        <v>165.81602946602308</v>
      </c>
      <c r="EF143">
        <f t="shared" si="63"/>
        <v>228.94206284857941</v>
      </c>
      <c r="EG143">
        <f t="shared" si="63"/>
        <v>153.75226664501966</v>
      </c>
      <c r="EH143">
        <f t="shared" si="63"/>
        <v>206.02915342006554</v>
      </c>
    </row>
    <row r="144" spans="81:140" x14ac:dyDescent="0.35">
      <c r="CC144" s="33" t="s">
        <v>93</v>
      </c>
      <c r="CD144">
        <v>0</v>
      </c>
      <c r="CE144">
        <v>0</v>
      </c>
      <c r="CF144">
        <v>1.3697081520859106E-8</v>
      </c>
      <c r="CG144">
        <v>1.7261204948637237E-2</v>
      </c>
      <c r="CH144">
        <v>0.24748708355997995</v>
      </c>
      <c r="CI144">
        <v>0.21142509731454834</v>
      </c>
      <c r="CJ144">
        <v>0.2467759531682302</v>
      </c>
      <c r="CK144">
        <v>0.2537610836632852</v>
      </c>
      <c r="CL144">
        <v>2.3286787703424044E-2</v>
      </c>
      <c r="CM144">
        <v>2.7759448134666794E-6</v>
      </c>
      <c r="CT144" s="33" t="s">
        <v>93</v>
      </c>
      <c r="CU144">
        <v>7.2514394641549051E-9</v>
      </c>
      <c r="CV144">
        <v>4.350872670295862E-8</v>
      </c>
      <c r="CW144">
        <v>1.3294340152861849E-7</v>
      </c>
      <c r="CX144">
        <v>6.3211117607005016E-3</v>
      </c>
      <c r="CY144">
        <v>0.26347850047193278</v>
      </c>
      <c r="CZ144">
        <v>0.23512725882717564</v>
      </c>
      <c r="DA144">
        <v>0.2354159634091566</v>
      </c>
      <c r="DB144">
        <v>0.25391274256742485</v>
      </c>
      <c r="DC144">
        <v>5.7441522426337375E-3</v>
      </c>
      <c r="DD144">
        <v>8.7017408446902632E-8</v>
      </c>
      <c r="DI144" s="33" t="s">
        <v>93</v>
      </c>
      <c r="DJ144">
        <v>3.8675869858438017E-8</v>
      </c>
      <c r="DK144">
        <v>1.0313584633508732E-7</v>
      </c>
      <c r="DL144">
        <v>4.8344793812715689E-8</v>
      </c>
      <c r="DM144">
        <v>3.0961952116792356E-4</v>
      </c>
      <c r="DN144">
        <v>0.21558360952499522</v>
      </c>
      <c r="DO144">
        <v>0.29245633913713898</v>
      </c>
      <c r="DP144">
        <v>0.29418853383100235</v>
      </c>
      <c r="DQ144">
        <v>0.19706562522124299</v>
      </c>
      <c r="DR144">
        <v>3.9601170222944304E-4</v>
      </c>
      <c r="DS144">
        <v>7.0905713062323219E-8</v>
      </c>
      <c r="DX144" s="33" t="s">
        <v>93</v>
      </c>
      <c r="DY144">
        <v>2.507204129661356E-7</v>
      </c>
      <c r="DZ144">
        <v>1.8514739292029706E-7</v>
      </c>
      <c r="EA144">
        <v>2.5071983901029368E-7</v>
      </c>
      <c r="EB144">
        <v>6.7771536374837663E-6</v>
      </c>
      <c r="EC144">
        <v>0.20300754486126163</v>
      </c>
      <c r="ED144">
        <v>0.29237430155009203</v>
      </c>
      <c r="EE144">
        <v>0.28128210348347815</v>
      </c>
      <c r="EF144">
        <v>0.22314763212647346</v>
      </c>
      <c r="EG144">
        <v>1.8074208955861718E-4</v>
      </c>
      <c r="EH144">
        <v>2.1214785410116639E-7</v>
      </c>
    </row>
    <row r="145" spans="81:140" x14ac:dyDescent="0.35">
      <c r="CC145" s="33" t="s">
        <v>189</v>
      </c>
      <c r="CD145">
        <f>$CD$135*CD144</f>
        <v>0</v>
      </c>
      <c r="CE145">
        <f t="shared" ref="CE145:CM145" si="64">$CD$135*CE144</f>
        <v>0</v>
      </c>
      <c r="CF145">
        <f t="shared" si="64"/>
        <v>1.1094636031895876E-7</v>
      </c>
      <c r="CG145">
        <f t="shared" si="64"/>
        <v>0.13981576008396163</v>
      </c>
      <c r="CH145">
        <f t="shared" si="64"/>
        <v>2.0046453768358377</v>
      </c>
      <c r="CI145">
        <f t="shared" si="64"/>
        <v>1.7125432882478415</v>
      </c>
      <c r="CJ145">
        <f t="shared" si="64"/>
        <v>1.9988852206626646</v>
      </c>
      <c r="CK145">
        <f t="shared" si="64"/>
        <v>2.05546477767261</v>
      </c>
      <c r="CL145">
        <f t="shared" si="64"/>
        <v>0.18862298039773476</v>
      </c>
      <c r="CM145">
        <f t="shared" si="64"/>
        <v>2.2485152989080103E-5</v>
      </c>
      <c r="CT145" s="33" t="s">
        <v>189</v>
      </c>
      <c r="CU145">
        <f>$CU$135*CU144</f>
        <v>6.0584607136003885E-8</v>
      </c>
      <c r="CV145">
        <f t="shared" ref="CV145:DD145" si="65">$CU$135*CV144</f>
        <v>3.6350839406665429E-7</v>
      </c>
      <c r="CW145">
        <f t="shared" si="65"/>
        <v>1.1107206772874901E-6</v>
      </c>
      <c r="CX145">
        <f t="shared" si="65"/>
        <v>5.2811869226497742E-2</v>
      </c>
      <c r="CY145">
        <f t="shared" si="65"/>
        <v>2.2013203749106642</v>
      </c>
      <c r="CZ145">
        <f t="shared" si="65"/>
        <v>1.9644503237496289</v>
      </c>
      <c r="DA145">
        <f t="shared" si="65"/>
        <v>1.9668624039668248</v>
      </c>
      <c r="DB145">
        <f t="shared" si="65"/>
        <v>2.1214000104826787</v>
      </c>
      <c r="DC145">
        <f t="shared" si="65"/>
        <v>4.7991465511036717E-2</v>
      </c>
      <c r="DD145">
        <f t="shared" si="65"/>
        <v>7.2701641250799299E-7</v>
      </c>
      <c r="DI145" s="33" t="s">
        <v>189</v>
      </c>
      <c r="DJ145">
        <f>DJ144*$DJ$135</f>
        <v>2.088496972355653E-7</v>
      </c>
      <c r="DK145">
        <f t="shared" ref="DK145:DS145" si="66">DK144*$DJ$135</f>
        <v>5.569335702094716E-7</v>
      </c>
      <c r="DL145">
        <f t="shared" si="66"/>
        <v>2.6106188658866476E-7</v>
      </c>
      <c r="DM145">
        <f t="shared" si="66"/>
        <v>1.6719454143067874E-3</v>
      </c>
      <c r="DN145">
        <f t="shared" si="66"/>
        <v>1.1641514914349742</v>
      </c>
      <c r="DO145">
        <f t="shared" si="66"/>
        <v>1.5792642313405505</v>
      </c>
      <c r="DP145">
        <f t="shared" si="66"/>
        <v>1.5886180826874128</v>
      </c>
      <c r="DQ145">
        <f t="shared" si="66"/>
        <v>1.0641543761947123</v>
      </c>
      <c r="DR145">
        <f t="shared" si="66"/>
        <v>2.1384631920389925E-3</v>
      </c>
      <c r="DS145">
        <f t="shared" si="66"/>
        <v>3.8289085053654542E-7</v>
      </c>
      <c r="DX145" s="33" t="s">
        <v>189</v>
      </c>
      <c r="DY145">
        <f>$DY$135*DY144</f>
        <v>8.8156532300996063E-7</v>
      </c>
      <c r="DZ145">
        <f t="shared" ref="DZ145:EH145" si="67">$DY$135*DZ144</f>
        <v>6.5100212349394776E-7</v>
      </c>
      <c r="EA145">
        <f t="shared" si="67"/>
        <v>8.8156330490716163E-7</v>
      </c>
      <c r="EB145">
        <f t="shared" si="67"/>
        <v>2.3829346660830018E-5</v>
      </c>
      <c r="EC145">
        <f t="shared" si="67"/>
        <v>0.71380072225411351</v>
      </c>
      <c r="ED145">
        <f t="shared" si="67"/>
        <v>1.0280257699664526</v>
      </c>
      <c r="EE145">
        <f t="shared" si="67"/>
        <v>0.98902417031287482</v>
      </c>
      <c r="EF145">
        <f t="shared" si="67"/>
        <v>0.78461586779953574</v>
      </c>
      <c r="EG145">
        <f t="shared" si="67"/>
        <v>6.3551250844804102E-4</v>
      </c>
      <c r="EH145">
        <f t="shared" si="67"/>
        <v>7.4593922893635927E-7</v>
      </c>
    </row>
    <row r="146" spans="81:140" x14ac:dyDescent="0.35">
      <c r="CC146" s="33" t="s">
        <v>172</v>
      </c>
      <c r="CD146">
        <f>$CD$137/10</f>
        <v>1063.3333333333335</v>
      </c>
      <c r="CE146">
        <f t="shared" ref="CE146:CM146" si="68">$CD$137/10</f>
        <v>1063.3333333333335</v>
      </c>
      <c r="CF146">
        <f t="shared" si="68"/>
        <v>1063.3333333333335</v>
      </c>
      <c r="CG146">
        <f t="shared" si="68"/>
        <v>1063.3333333333335</v>
      </c>
      <c r="CH146">
        <f t="shared" si="68"/>
        <v>1063.3333333333335</v>
      </c>
      <c r="CI146">
        <f t="shared" si="68"/>
        <v>1063.3333333333335</v>
      </c>
      <c r="CJ146">
        <f t="shared" si="68"/>
        <v>1063.3333333333335</v>
      </c>
      <c r="CK146">
        <f t="shared" si="68"/>
        <v>1063.3333333333335</v>
      </c>
      <c r="CL146">
        <f t="shared" si="68"/>
        <v>1063.3333333333335</v>
      </c>
      <c r="CM146">
        <f t="shared" si="68"/>
        <v>1063.3333333333335</v>
      </c>
      <c r="CT146" s="33" t="s">
        <v>172</v>
      </c>
      <c r="CU146">
        <f>$CU$137/10</f>
        <v>1270.1483870967743</v>
      </c>
      <c r="CV146">
        <f t="shared" ref="CV146:DD146" si="69">$CU$137/10</f>
        <v>1270.1483870967743</v>
      </c>
      <c r="CW146">
        <f t="shared" si="69"/>
        <v>1270.1483870967743</v>
      </c>
      <c r="CX146">
        <f t="shared" si="69"/>
        <v>1270.1483870967743</v>
      </c>
      <c r="CY146">
        <f t="shared" si="69"/>
        <v>1270.1483870967743</v>
      </c>
      <c r="CZ146">
        <f t="shared" si="69"/>
        <v>1270.1483870967743</v>
      </c>
      <c r="DA146">
        <f t="shared" si="69"/>
        <v>1270.1483870967743</v>
      </c>
      <c r="DB146">
        <f t="shared" si="69"/>
        <v>1270.1483870967743</v>
      </c>
      <c r="DC146">
        <f t="shared" si="69"/>
        <v>1270.1483870967743</v>
      </c>
      <c r="DD146">
        <f t="shared" si="69"/>
        <v>1270.1483870967743</v>
      </c>
      <c r="DI146" s="33" t="s">
        <v>172</v>
      </c>
      <c r="DJ146">
        <f>$DJ$137/10</f>
        <v>1809.7433333333333</v>
      </c>
      <c r="DK146">
        <f t="shared" ref="DK146:DS146" si="70">$DJ$137/10</f>
        <v>1809.7433333333333</v>
      </c>
      <c r="DL146">
        <f t="shared" si="70"/>
        <v>1809.7433333333333</v>
      </c>
      <c r="DM146">
        <f t="shared" si="70"/>
        <v>1809.7433333333333</v>
      </c>
      <c r="DN146">
        <f t="shared" si="70"/>
        <v>1809.7433333333333</v>
      </c>
      <c r="DO146">
        <f t="shared" si="70"/>
        <v>1809.7433333333333</v>
      </c>
      <c r="DP146">
        <f t="shared" si="70"/>
        <v>1809.7433333333333</v>
      </c>
      <c r="DQ146">
        <f t="shared" si="70"/>
        <v>1809.7433333333333</v>
      </c>
      <c r="DR146">
        <f t="shared" si="70"/>
        <v>1809.7433333333333</v>
      </c>
      <c r="DS146">
        <f t="shared" si="70"/>
        <v>1809.7433333333333</v>
      </c>
      <c r="DX146" s="33" t="s">
        <v>172</v>
      </c>
      <c r="DY146">
        <f>$DY$137/10</f>
        <v>2034.9580645161291</v>
      </c>
      <c r="DZ146">
        <f t="shared" ref="DZ146:EH146" si="71">$DY$137/10</f>
        <v>2034.9580645161291</v>
      </c>
      <c r="EA146">
        <f t="shared" si="71"/>
        <v>2034.9580645161291</v>
      </c>
      <c r="EB146">
        <f t="shared" si="71"/>
        <v>2034.9580645161291</v>
      </c>
      <c r="EC146">
        <f t="shared" si="71"/>
        <v>2034.9580645161291</v>
      </c>
      <c r="ED146">
        <f t="shared" si="71"/>
        <v>2034.9580645161291</v>
      </c>
      <c r="EE146">
        <f t="shared" si="71"/>
        <v>2034.9580645161291</v>
      </c>
      <c r="EF146">
        <f t="shared" si="71"/>
        <v>2034.9580645161291</v>
      </c>
      <c r="EG146">
        <f t="shared" si="71"/>
        <v>2034.9580645161291</v>
      </c>
      <c r="EH146">
        <f t="shared" si="71"/>
        <v>2034.9580645161291</v>
      </c>
    </row>
    <row r="147" spans="81:140" x14ac:dyDescent="0.35">
      <c r="CC147" s="33" t="s">
        <v>170</v>
      </c>
      <c r="CD147">
        <v>0</v>
      </c>
      <c r="CE147">
        <v>0</v>
      </c>
      <c r="CF147">
        <v>0</v>
      </c>
      <c r="CG147">
        <v>0</v>
      </c>
      <c r="CH147">
        <v>0</v>
      </c>
      <c r="CI147">
        <v>0</v>
      </c>
      <c r="CJ147">
        <v>0</v>
      </c>
      <c r="CK147">
        <v>0</v>
      </c>
      <c r="CL147">
        <v>0</v>
      </c>
      <c r="CM147">
        <v>0</v>
      </c>
      <c r="CT147" s="33" t="s">
        <v>170</v>
      </c>
      <c r="CU147">
        <v>0</v>
      </c>
      <c r="CV147">
        <v>0</v>
      </c>
      <c r="CW147">
        <v>0</v>
      </c>
      <c r="CX147">
        <v>0</v>
      </c>
      <c r="CY147">
        <v>0</v>
      </c>
      <c r="CZ147">
        <v>0</v>
      </c>
      <c r="DA147">
        <v>0</v>
      </c>
      <c r="DB147">
        <v>0</v>
      </c>
      <c r="DC147">
        <v>0</v>
      </c>
      <c r="DD147">
        <v>0</v>
      </c>
      <c r="DI147" s="33" t="s">
        <v>170</v>
      </c>
      <c r="DJ147">
        <v>0</v>
      </c>
      <c r="DK147">
        <v>0</v>
      </c>
      <c r="DL147">
        <v>0</v>
      </c>
      <c r="DM147">
        <v>0</v>
      </c>
      <c r="DN147">
        <v>0</v>
      </c>
      <c r="DO147">
        <v>0</v>
      </c>
      <c r="DP147">
        <v>0</v>
      </c>
      <c r="DQ147">
        <v>0</v>
      </c>
      <c r="DR147">
        <v>0</v>
      </c>
      <c r="DS147">
        <v>0</v>
      </c>
      <c r="DX147" s="33" t="s">
        <v>170</v>
      </c>
      <c r="DY147">
        <v>0</v>
      </c>
      <c r="DZ147">
        <v>0</v>
      </c>
      <c r="EA147">
        <v>0</v>
      </c>
      <c r="EB147">
        <v>0</v>
      </c>
      <c r="EC147">
        <v>0</v>
      </c>
      <c r="ED147">
        <v>0</v>
      </c>
      <c r="EE147">
        <v>0</v>
      </c>
      <c r="EF147">
        <v>0</v>
      </c>
      <c r="EG147">
        <v>0</v>
      </c>
      <c r="EH147">
        <v>0</v>
      </c>
    </row>
    <row r="148" spans="81:140" x14ac:dyDescent="0.35">
      <c r="CC148" s="33"/>
      <c r="CT148" s="33"/>
      <c r="DI148" s="33"/>
      <c r="DX148" s="33"/>
    </row>
    <row r="149" spans="81:140" x14ac:dyDescent="0.35">
      <c r="CC149" s="33" t="s">
        <v>194</v>
      </c>
      <c r="CD149">
        <f t="shared" ref="CD149:CM149" si="72">CD143+CD145+CD146+CD147</f>
        <v>1229.7026354696627</v>
      </c>
      <c r="CE149">
        <f t="shared" si="72"/>
        <v>1224.0033355393377</v>
      </c>
      <c r="CF149">
        <f t="shared" si="72"/>
        <v>1302.127466595233</v>
      </c>
      <c r="CG149">
        <f t="shared" si="72"/>
        <v>1220.9601701411989</v>
      </c>
      <c r="CH149">
        <f t="shared" si="72"/>
        <v>1333.1014395845357</v>
      </c>
      <c r="CI149">
        <f t="shared" si="72"/>
        <v>1255.866856812112</v>
      </c>
      <c r="CJ149">
        <f t="shared" si="72"/>
        <v>1267.013631236789</v>
      </c>
      <c r="CK149">
        <f t="shared" si="72"/>
        <v>1355.9563453677533</v>
      </c>
      <c r="CL149">
        <f t="shared" si="72"/>
        <v>1233.1748520470048</v>
      </c>
      <c r="CM149">
        <f t="shared" si="72"/>
        <v>1314.9266005397076</v>
      </c>
      <c r="CT149" s="33" t="s">
        <v>194</v>
      </c>
      <c r="CU149">
        <f t="shared" ref="CU149:DD149" si="73">CU143+CU145+CU146+CU147</f>
        <v>1467.6154546377563</v>
      </c>
      <c r="CV149">
        <f t="shared" si="73"/>
        <v>1482.052367827016</v>
      </c>
      <c r="CW149">
        <f t="shared" si="73"/>
        <v>1598.9010565822537</v>
      </c>
      <c r="CX149">
        <f t="shared" si="73"/>
        <v>1480.9507374262071</v>
      </c>
      <c r="CY149">
        <f t="shared" si="73"/>
        <v>1602.6461114257929</v>
      </c>
      <c r="CZ149">
        <f t="shared" si="73"/>
        <v>1509.2206639691015</v>
      </c>
      <c r="DA149">
        <f t="shared" si="73"/>
        <v>1504.8443483977505</v>
      </c>
      <c r="DB149">
        <f t="shared" si="73"/>
        <v>1595.7514588212539</v>
      </c>
      <c r="DC149">
        <f t="shared" si="73"/>
        <v>1471.5903110235213</v>
      </c>
      <c r="DD149">
        <f t="shared" si="73"/>
        <v>1573.5242640828969</v>
      </c>
      <c r="DI149" s="33" t="s">
        <v>194</v>
      </c>
      <c r="DJ149">
        <f t="shared" ref="DJ149:DS149" si="74">DJ143+DJ145+DJ146+DJ147</f>
        <v>2081.578290836318</v>
      </c>
      <c r="DK149">
        <f t="shared" si="74"/>
        <v>2064.0117894507312</v>
      </c>
      <c r="DL149">
        <f t="shared" si="74"/>
        <v>2161.8147198281126</v>
      </c>
      <c r="DM149">
        <f t="shared" si="74"/>
        <v>2026.5807545725613</v>
      </c>
      <c r="DN149">
        <f t="shared" si="74"/>
        <v>2144.6155424776862</v>
      </c>
      <c r="DO149">
        <f t="shared" si="74"/>
        <v>2062.6619579807548</v>
      </c>
      <c r="DP149">
        <f t="shared" si="74"/>
        <v>2084.8009080675597</v>
      </c>
      <c r="DQ149">
        <f t="shared" si="74"/>
        <v>2205.604931214622</v>
      </c>
      <c r="DR149">
        <f t="shared" si="74"/>
        <v>2062.6744513405501</v>
      </c>
      <c r="DS149">
        <f t="shared" si="74"/>
        <v>2222.1899875644376</v>
      </c>
      <c r="DX149" s="33" t="s">
        <v>194</v>
      </c>
      <c r="DY149">
        <f t="shared" ref="DY149:EH149" si="75">DY143+DY145+DY146+DY147</f>
        <v>2170.0385517344444</v>
      </c>
      <c r="DZ149">
        <f t="shared" si="75"/>
        <v>2174.0904690874759</v>
      </c>
      <c r="EA149">
        <f t="shared" si="75"/>
        <v>2250.894231426631</v>
      </c>
      <c r="EB149">
        <f t="shared" si="75"/>
        <v>2183.2410946129644</v>
      </c>
      <c r="EC149">
        <f t="shared" si="75"/>
        <v>2269.2304285683572</v>
      </c>
      <c r="ED149">
        <f t="shared" si="75"/>
        <v>2197.7140165390406</v>
      </c>
      <c r="EE149">
        <f t="shared" si="75"/>
        <v>2201.7631181524648</v>
      </c>
      <c r="EF149">
        <f t="shared" si="75"/>
        <v>2264.684743232508</v>
      </c>
      <c r="EG149">
        <f t="shared" si="75"/>
        <v>2188.7109666736574</v>
      </c>
      <c r="EH149">
        <f t="shared" si="75"/>
        <v>2240.987218682134</v>
      </c>
    </row>
    <row r="151" spans="81:140" x14ac:dyDescent="0.35">
      <c r="EJ151" s="63"/>
    </row>
    <row r="152" spans="81:140" x14ac:dyDescent="0.35">
      <c r="EJ152" s="63"/>
    </row>
    <row r="153" spans="81:140" x14ac:dyDescent="0.35">
      <c r="DU153" s="63"/>
    </row>
    <row r="154" spans="81:140" x14ac:dyDescent="0.35">
      <c r="DF154" s="63"/>
      <c r="DU154" s="63"/>
    </row>
    <row r="155" spans="81:140" x14ac:dyDescent="0.35">
      <c r="DF155" s="63"/>
    </row>
    <row r="156" spans="81:140" x14ac:dyDescent="0.35">
      <c r="DF156" s="63"/>
      <c r="DU156" s="63"/>
    </row>
  </sheetData>
  <mergeCells count="87">
    <mergeCell ref="B48:C48"/>
    <mergeCell ref="AG39:AG40"/>
    <mergeCell ref="AH39:AH40"/>
    <mergeCell ref="AI39:AI40"/>
    <mergeCell ref="AJ39:AJ40"/>
    <mergeCell ref="Q39:Q40"/>
    <mergeCell ref="R39:R40"/>
    <mergeCell ref="S39:S40"/>
    <mergeCell ref="T39:T40"/>
    <mergeCell ref="A38:B40"/>
    <mergeCell ref="C38:AJ38"/>
    <mergeCell ref="D39:D40"/>
    <mergeCell ref="E39:E40"/>
    <mergeCell ref="F39:F40"/>
    <mergeCell ref="G39:G40"/>
    <mergeCell ref="H39:H40"/>
    <mergeCell ref="AK39:AK40"/>
    <mergeCell ref="B41:B47"/>
    <mergeCell ref="AA39:AA40"/>
    <mergeCell ref="AB39:AB40"/>
    <mergeCell ref="AC39:AC40"/>
    <mergeCell ref="AD39:AD40"/>
    <mergeCell ref="AE39:AE40"/>
    <mergeCell ref="AF39:AF40"/>
    <mergeCell ref="U39:U40"/>
    <mergeCell ref="V39:V40"/>
    <mergeCell ref="W39:W40"/>
    <mergeCell ref="X39:X40"/>
    <mergeCell ref="Y39:Y40"/>
    <mergeCell ref="Z39:Z40"/>
    <mergeCell ref="O39:O40"/>
    <mergeCell ref="P39:P40"/>
    <mergeCell ref="I39:I40"/>
    <mergeCell ref="J39:J40"/>
    <mergeCell ref="AJ2:AJ3"/>
    <mergeCell ref="AK2:AK3"/>
    <mergeCell ref="B4:B18"/>
    <mergeCell ref="B19:C19"/>
    <mergeCell ref="K39:K40"/>
    <mergeCell ref="L39:L40"/>
    <mergeCell ref="M39:M40"/>
    <mergeCell ref="N39:N40"/>
    <mergeCell ref="AD2:AD3"/>
    <mergeCell ref="AE2:AE3"/>
    <mergeCell ref="AF2:AF3"/>
    <mergeCell ref="AG2:AG3"/>
    <mergeCell ref="AH2:AH3"/>
    <mergeCell ref="AI2:AI3"/>
    <mergeCell ref="AC2:AC3"/>
    <mergeCell ref="R2:R3"/>
    <mergeCell ref="S2:S3"/>
    <mergeCell ref="T2:T3"/>
    <mergeCell ref="U2:U3"/>
    <mergeCell ref="V2:V3"/>
    <mergeCell ref="W2:W3"/>
    <mergeCell ref="X2:X3"/>
    <mergeCell ref="Y2:Y3"/>
    <mergeCell ref="Z2:Z3"/>
    <mergeCell ref="AA2:AA3"/>
    <mergeCell ref="AB2:AB3"/>
    <mergeCell ref="Q2:Q3"/>
    <mergeCell ref="A1:B3"/>
    <mergeCell ref="C1:AJ1"/>
    <mergeCell ref="D2:D3"/>
    <mergeCell ref="E2:E3"/>
    <mergeCell ref="F2:F3"/>
    <mergeCell ref="G2:G3"/>
    <mergeCell ref="H2:H3"/>
    <mergeCell ref="I2:I3"/>
    <mergeCell ref="J2:J3"/>
    <mergeCell ref="K2:K3"/>
    <mergeCell ref="L2:L3"/>
    <mergeCell ref="M2:M3"/>
    <mergeCell ref="N2:N3"/>
    <mergeCell ref="O2:O3"/>
    <mergeCell ref="P2:P3"/>
    <mergeCell ref="BD1:BE3"/>
    <mergeCell ref="BF1:BQ1"/>
    <mergeCell ref="BG2:BR2"/>
    <mergeCell ref="BE4:BE18"/>
    <mergeCell ref="BE19:BF19"/>
    <mergeCell ref="CK124:CL124"/>
    <mergeCell ref="BD34:BE36"/>
    <mergeCell ref="BF34:BQ34"/>
    <mergeCell ref="BG35:BR35"/>
    <mergeCell ref="BE37:BE43"/>
    <mergeCell ref="BE44:BF4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A3B0B6-B3F5-4AFC-93C4-355CD5510CE2}">
  <sheetPr>
    <tabColor theme="9"/>
  </sheetPr>
  <dimension ref="A1:CK112"/>
  <sheetViews>
    <sheetView zoomScale="70" zoomScaleNormal="70" workbookViewId="0">
      <selection activeCell="I21" sqref="I21"/>
    </sheetView>
  </sheetViews>
  <sheetFormatPr defaultRowHeight="14.5" x14ac:dyDescent="0.35"/>
  <cols>
    <col min="2" max="2" width="12.7265625" customWidth="1"/>
    <col min="3" max="3" width="10.81640625" customWidth="1"/>
    <col min="4" max="4" width="13.453125" customWidth="1"/>
    <col min="5" max="5" width="22.453125" customWidth="1"/>
    <col min="6" max="6" width="27.54296875" customWidth="1"/>
    <col min="7" max="8" width="20.1796875" customWidth="1"/>
    <col min="9" max="9" width="22.1796875" customWidth="1"/>
    <col min="10" max="10" width="16.453125" customWidth="1"/>
    <col min="11" max="11" width="14.453125" customWidth="1"/>
    <col min="15" max="15" width="15.453125" customWidth="1"/>
    <col min="16" max="16" width="10.1796875" customWidth="1"/>
    <col min="23" max="23" width="18.36328125" customWidth="1"/>
    <col min="26" max="26" width="13.54296875" customWidth="1"/>
    <col min="31" max="31" width="19.7265625" customWidth="1"/>
    <col min="32" max="32" width="14.81640625" customWidth="1"/>
    <col min="34" max="34" width="18.54296875" customWidth="1"/>
    <col min="35" max="35" width="19.54296875" customWidth="1"/>
    <col min="36" max="36" width="22.54296875" customWidth="1"/>
    <col min="50" max="50" width="17.7265625" customWidth="1"/>
    <col min="60" max="60" width="25.81640625" bestFit="1" customWidth="1"/>
    <col min="61" max="61" width="12.54296875" bestFit="1" customWidth="1"/>
    <col min="62" max="63" width="12.81640625" bestFit="1" customWidth="1"/>
  </cols>
  <sheetData>
    <row r="1" spans="1:63" x14ac:dyDescent="0.35">
      <c r="A1" s="56"/>
      <c r="B1" s="56" t="s">
        <v>216</v>
      </c>
      <c r="C1" s="56" t="s">
        <v>217</v>
      </c>
      <c r="D1" s="56" t="s">
        <v>218</v>
      </c>
      <c r="E1" s="56" t="s">
        <v>219</v>
      </c>
      <c r="F1" s="56" t="s">
        <v>220</v>
      </c>
      <c r="G1" s="56" t="s">
        <v>221</v>
      </c>
      <c r="H1" s="56" t="s">
        <v>515</v>
      </c>
      <c r="I1" s="56" t="s">
        <v>224</v>
      </c>
      <c r="J1" s="56" t="s">
        <v>225</v>
      </c>
      <c r="K1" s="144" t="s">
        <v>514</v>
      </c>
      <c r="N1" s="56"/>
      <c r="O1" s="56" t="s">
        <v>228</v>
      </c>
      <c r="P1" s="56" t="s">
        <v>229</v>
      </c>
      <c r="R1" s="58" t="s">
        <v>230</v>
      </c>
    </row>
    <row r="2" spans="1:63" x14ac:dyDescent="0.35">
      <c r="A2" s="56" t="s">
        <v>41</v>
      </c>
      <c r="B2" s="56">
        <f>Flores!BG21</f>
        <v>494487</v>
      </c>
      <c r="C2" s="57">
        <f>Flores!BG44</f>
        <v>867605</v>
      </c>
      <c r="D2" s="56">
        <f>C2-B2</f>
        <v>373118</v>
      </c>
      <c r="E2" s="56">
        <f>Flores!BG24</f>
        <v>45570</v>
      </c>
      <c r="F2" s="56">
        <f>(E2/$R$2)*10^-3</f>
        <v>22.785</v>
      </c>
      <c r="G2" s="56">
        <f>$P$3/F2</f>
        <v>33.821250822909811</v>
      </c>
      <c r="H2" s="56">
        <f>ROUNDUP(G2,0)</f>
        <v>34</v>
      </c>
      <c r="I2" s="56">
        <v>20.69</v>
      </c>
      <c r="J2" s="30">
        <f>($O$3*10^3)/I2</f>
        <v>1960.3093281778638</v>
      </c>
      <c r="K2" s="144">
        <f>ROUNDUP(J2,0)</f>
        <v>1961</v>
      </c>
      <c r="N2" s="56" t="s">
        <v>231</v>
      </c>
      <c r="O2" s="56">
        <v>5</v>
      </c>
      <c r="P2" s="56">
        <v>95</v>
      </c>
      <c r="R2" s="58">
        <v>2</v>
      </c>
    </row>
    <row r="3" spans="1:63" x14ac:dyDescent="0.35">
      <c r="A3" s="56" t="s">
        <v>42</v>
      </c>
      <c r="B3" s="56">
        <f>Flores!BH21</f>
        <v>365888</v>
      </c>
      <c r="C3" s="57">
        <f>Flores!BH44</f>
        <v>869598</v>
      </c>
      <c r="D3" s="56">
        <f t="shared" ref="D3:D13" si="0">C3-B3</f>
        <v>503710</v>
      </c>
      <c r="E3" s="56">
        <f>Flores!BH24</f>
        <v>58730</v>
      </c>
      <c r="F3" s="56">
        <f t="shared" ref="F3:F13" si="1">(E3/$R$2)*10^-3</f>
        <v>29.365000000000002</v>
      </c>
      <c r="G3" s="56">
        <f t="shared" ref="G3:G13" si="2">$P$3/F3</f>
        <v>26.242710710028945</v>
      </c>
      <c r="H3" s="56">
        <f t="shared" ref="H3:H13" si="3">ROUNDUP(G3,0)</f>
        <v>27</v>
      </c>
      <c r="I3" s="56">
        <v>26.07</v>
      </c>
      <c r="J3" s="30">
        <f t="shared" ref="J3:J13" si="4">($O$3*10^3)/I3</f>
        <v>1555.7652474108172</v>
      </c>
      <c r="K3" s="144">
        <f t="shared" ref="K3:K13" si="5">ROUNDUP(J3,0)</f>
        <v>1556</v>
      </c>
      <c r="N3" s="56" t="s">
        <v>232</v>
      </c>
      <c r="O3" s="56">
        <f>$D$7*(O2/100)*10^-3</f>
        <v>40.558800000000005</v>
      </c>
      <c r="P3" s="56">
        <f>$D$7*(P2/100)*10^-3</f>
        <v>770.61720000000003</v>
      </c>
      <c r="R3" t="s">
        <v>395</v>
      </c>
      <c r="S3" t="s">
        <v>396</v>
      </c>
      <c r="AQ3" t="s">
        <v>235</v>
      </c>
      <c r="AR3" t="s">
        <v>236</v>
      </c>
    </row>
    <row r="4" spans="1:63" x14ac:dyDescent="0.35">
      <c r="A4" s="56" t="s">
        <v>43</v>
      </c>
      <c r="B4" s="56">
        <f>Flores!BI21</f>
        <v>711262</v>
      </c>
      <c r="C4" s="57">
        <f>Flores!BI44</f>
        <v>921939</v>
      </c>
      <c r="D4" s="56">
        <f t="shared" si="0"/>
        <v>210677</v>
      </c>
      <c r="E4" s="56">
        <f>Flores!BI24</f>
        <v>91719</v>
      </c>
      <c r="F4" s="56">
        <f t="shared" si="1"/>
        <v>45.859500000000004</v>
      </c>
      <c r="G4" s="56">
        <f t="shared" si="2"/>
        <v>16.803872698132338</v>
      </c>
      <c r="H4" s="56">
        <f t="shared" si="3"/>
        <v>17</v>
      </c>
      <c r="I4" s="56">
        <v>35.15</v>
      </c>
      <c r="J4" s="30">
        <f t="shared" si="4"/>
        <v>1153.8776671408252</v>
      </c>
      <c r="K4" s="144">
        <f t="shared" si="5"/>
        <v>1154</v>
      </c>
      <c r="AI4" t="s">
        <v>238</v>
      </c>
    </row>
    <row r="5" spans="1:63" x14ac:dyDescent="0.35">
      <c r="A5" s="56" t="s">
        <v>44</v>
      </c>
      <c r="B5" s="56">
        <f>Flores!BJ21</f>
        <v>583842</v>
      </c>
      <c r="C5" s="57">
        <f>Flores!BJ44</f>
        <v>855908</v>
      </c>
      <c r="D5" s="56">
        <f t="shared" si="0"/>
        <v>272066</v>
      </c>
      <c r="E5" s="56">
        <f>Flores!BJ24</f>
        <v>39500</v>
      </c>
      <c r="F5" s="56">
        <f t="shared" si="1"/>
        <v>19.75</v>
      </c>
      <c r="G5" s="56">
        <f t="shared" si="2"/>
        <v>39.018592405063295</v>
      </c>
      <c r="H5" s="56">
        <f t="shared" si="3"/>
        <v>40</v>
      </c>
      <c r="I5" s="56">
        <v>40.869999999999997</v>
      </c>
      <c r="J5" s="30">
        <f t="shared" si="4"/>
        <v>992.38561291901158</v>
      </c>
      <c r="K5" s="144">
        <f t="shared" si="5"/>
        <v>993</v>
      </c>
    </row>
    <row r="6" spans="1:63" x14ac:dyDescent="0.35">
      <c r="A6" s="56" t="s">
        <v>45</v>
      </c>
      <c r="B6" s="56">
        <f>Flores!BK21</f>
        <v>523106</v>
      </c>
      <c r="C6" s="57">
        <f>Flores!BK44</f>
        <v>537249</v>
      </c>
      <c r="D6" s="56">
        <f t="shared" si="0"/>
        <v>14143</v>
      </c>
      <c r="E6" s="56">
        <f>Flores!BK24</f>
        <v>36043</v>
      </c>
      <c r="F6" s="56">
        <f t="shared" si="1"/>
        <v>18.0215</v>
      </c>
      <c r="G6" s="56">
        <f t="shared" si="2"/>
        <v>42.760991038481812</v>
      </c>
      <c r="H6" s="56">
        <f t="shared" si="3"/>
        <v>43</v>
      </c>
      <c r="I6" s="56">
        <v>44.99</v>
      </c>
      <c r="J6" s="30">
        <f t="shared" si="4"/>
        <v>901.5070015559013</v>
      </c>
      <c r="K6" s="144">
        <f t="shared" si="5"/>
        <v>902</v>
      </c>
      <c r="AD6" t="s">
        <v>355</v>
      </c>
      <c r="AE6" t="s">
        <v>356</v>
      </c>
      <c r="AJ6" t="s">
        <v>242</v>
      </c>
      <c r="AQ6" s="157" t="s">
        <v>243</v>
      </c>
      <c r="AR6" s="157"/>
      <c r="AS6" s="157"/>
    </row>
    <row r="7" spans="1:63" x14ac:dyDescent="0.35">
      <c r="A7" s="56" t="s">
        <v>46</v>
      </c>
      <c r="B7" s="56">
        <f>Flores!BL21</f>
        <v>444609</v>
      </c>
      <c r="C7" s="57">
        <f>Flores!BL44</f>
        <v>1255785</v>
      </c>
      <c r="D7" s="56">
        <f>C7-B7</f>
        <v>811176</v>
      </c>
      <c r="E7" s="56">
        <f>Flores!BL24</f>
        <v>48895</v>
      </c>
      <c r="F7" s="56">
        <f t="shared" si="1"/>
        <v>24.447500000000002</v>
      </c>
      <c r="G7" s="56">
        <f t="shared" si="2"/>
        <v>31.521308927293177</v>
      </c>
      <c r="H7" s="56">
        <f t="shared" si="3"/>
        <v>32</v>
      </c>
      <c r="I7" s="56">
        <v>44.17</v>
      </c>
      <c r="J7" s="30">
        <f t="shared" si="4"/>
        <v>918.2431514602672</v>
      </c>
      <c r="K7" s="144">
        <f t="shared" si="5"/>
        <v>919</v>
      </c>
      <c r="AD7">
        <v>5380</v>
      </c>
      <c r="AE7">
        <v>12</v>
      </c>
      <c r="AH7" t="s">
        <v>245</v>
      </c>
      <c r="AI7" t="s">
        <v>246</v>
      </c>
      <c r="AJ7" t="s">
        <v>247</v>
      </c>
      <c r="AK7" t="s">
        <v>248</v>
      </c>
      <c r="AL7" t="s">
        <v>181</v>
      </c>
      <c r="AM7" t="s">
        <v>204</v>
      </c>
      <c r="AN7" t="s">
        <v>249</v>
      </c>
      <c r="AO7" t="s">
        <v>250</v>
      </c>
      <c r="AP7" t="s">
        <v>251</v>
      </c>
      <c r="AQ7" t="s">
        <v>235</v>
      </c>
      <c r="AR7" t="s">
        <v>252</v>
      </c>
      <c r="AS7" t="s">
        <v>253</v>
      </c>
      <c r="AT7" t="s">
        <v>254</v>
      </c>
      <c r="AU7" t="s">
        <v>255</v>
      </c>
      <c r="AV7" t="s">
        <v>256</v>
      </c>
      <c r="AX7" t="s">
        <v>358</v>
      </c>
      <c r="BC7" t="s">
        <v>260</v>
      </c>
      <c r="BD7">
        <f>AH8/31</f>
        <v>3590.7161290322583</v>
      </c>
      <c r="BH7" s="181" t="s">
        <v>237</v>
      </c>
      <c r="BI7" s="182"/>
      <c r="BJ7" s="182"/>
      <c r="BK7" s="183"/>
    </row>
    <row r="8" spans="1:63" x14ac:dyDescent="0.35">
      <c r="A8" s="56" t="s">
        <v>47</v>
      </c>
      <c r="B8" s="56">
        <f>Flores!BM21</f>
        <v>232187</v>
      </c>
      <c r="C8" s="57">
        <f>Flores!BM44</f>
        <v>938216</v>
      </c>
      <c r="D8" s="56">
        <f t="shared" si="0"/>
        <v>706029</v>
      </c>
      <c r="E8" s="56">
        <f>Flores!BM24</f>
        <v>40011</v>
      </c>
      <c r="F8" s="56">
        <f t="shared" si="1"/>
        <v>20.005500000000001</v>
      </c>
      <c r="G8" s="56">
        <f t="shared" si="2"/>
        <v>38.520266926595184</v>
      </c>
      <c r="H8" s="56">
        <f t="shared" si="3"/>
        <v>39</v>
      </c>
      <c r="I8" s="56">
        <v>49.21</v>
      </c>
      <c r="J8" s="30">
        <f t="shared" si="4"/>
        <v>824.19833367201795</v>
      </c>
      <c r="K8" s="144">
        <f t="shared" si="5"/>
        <v>825</v>
      </c>
      <c r="AG8" t="s">
        <v>260</v>
      </c>
      <c r="AH8">
        <f t="shared" ref="AH8:AH19" si="6">I2*$AD$7</f>
        <v>111312.20000000001</v>
      </c>
      <c r="AI8">
        <f t="shared" ref="AI8:AI19" si="7">(F2*10^3)*$AE$7</f>
        <v>273420</v>
      </c>
      <c r="AJ8">
        <f>Flores!BG21</f>
        <v>494487</v>
      </c>
      <c r="AK8">
        <v>0</v>
      </c>
      <c r="AL8">
        <f t="shared" ref="AL8:AL19" si="8">C2</f>
        <v>867605</v>
      </c>
      <c r="AM8">
        <f t="shared" ref="AM8:AM19" si="9">AH8+AI8+AJ8-AL8</f>
        <v>11614.199999999953</v>
      </c>
      <c r="AN8">
        <f t="shared" ref="AN8:AN19" si="10">AK8+AM8</f>
        <v>11614.199999999953</v>
      </c>
      <c r="AO8">
        <f t="shared" ref="AO8:AO19" si="11">IF(AN8&lt;0,0,AN8)</f>
        <v>11614.199999999953</v>
      </c>
      <c r="AP8">
        <f t="shared" ref="AP8:AP19" si="12">IF(AH8+AI8+AJ8+AK8-AL8&gt;0,0,AH8+AI8+AJ8+AK8-AL8)</f>
        <v>0</v>
      </c>
      <c r="AQ8">
        <f>ROUND((-AX8/Batteries!$B$2)*5,0)</f>
        <v>954</v>
      </c>
      <c r="AR8">
        <f>ROUND((-AX8/Batteries!$B$14),0)</f>
        <v>1028</v>
      </c>
      <c r="AS8">
        <f>ROUND((-AX8/Batteries!$B$26),0)</f>
        <v>2057</v>
      </c>
      <c r="AT8">
        <f>-AX8/Batteries!$I$4</f>
        <v>23.934667579229298</v>
      </c>
      <c r="AU8">
        <f>-AX8/Batteries!$I$11</f>
        <v>21.780389094268887</v>
      </c>
      <c r="AV8">
        <f>-AX8/Batteries!$I$23</f>
        <v>612.28219388726109</v>
      </c>
      <c r="AX8">
        <f>AO58</f>
        <v>-2632.8134337152228</v>
      </c>
      <c r="BC8" t="s">
        <v>264</v>
      </c>
      <c r="BD8">
        <f>AH9/28</f>
        <v>5009.1642857142861</v>
      </c>
      <c r="BH8" s="101" t="s">
        <v>239</v>
      </c>
      <c r="BI8">
        <v>10635.17</v>
      </c>
      <c r="BJ8" t="s">
        <v>176</v>
      </c>
      <c r="BK8" s="14"/>
    </row>
    <row r="9" spans="1:63" x14ac:dyDescent="0.35">
      <c r="A9" s="56" t="s">
        <v>48</v>
      </c>
      <c r="B9" s="56">
        <f>Flores!BN21</f>
        <v>232890</v>
      </c>
      <c r="C9" s="57">
        <f>Flores!BN44</f>
        <v>978925</v>
      </c>
      <c r="D9" s="56">
        <f t="shared" si="0"/>
        <v>746035</v>
      </c>
      <c r="E9" s="56">
        <f>Flores!BN24</f>
        <v>35476</v>
      </c>
      <c r="F9" s="56">
        <f t="shared" si="1"/>
        <v>17.738</v>
      </c>
      <c r="G9" s="56">
        <f t="shared" si="2"/>
        <v>43.444424399594091</v>
      </c>
      <c r="H9" s="148">
        <f t="shared" si="3"/>
        <v>44</v>
      </c>
      <c r="I9" s="56">
        <v>48.97</v>
      </c>
      <c r="J9" s="30">
        <f t="shared" si="4"/>
        <v>828.23769654890759</v>
      </c>
      <c r="K9" s="144">
        <f t="shared" si="5"/>
        <v>829</v>
      </c>
      <c r="AD9" t="s">
        <v>263</v>
      </c>
      <c r="AE9">
        <f>LARGE(AQ8:AQ19,1)</f>
        <v>3851</v>
      </c>
      <c r="AG9" t="s">
        <v>264</v>
      </c>
      <c r="AH9">
        <f t="shared" si="6"/>
        <v>140256.6</v>
      </c>
      <c r="AI9">
        <f t="shared" si="7"/>
        <v>352380.00000000006</v>
      </c>
      <c r="AJ9">
        <f>Flores!BH21</f>
        <v>365888</v>
      </c>
      <c r="AK9">
        <f t="shared" ref="AK9:AK19" si="13">AO8</f>
        <v>11614.199999999953</v>
      </c>
      <c r="AL9">
        <f t="shared" si="8"/>
        <v>869598</v>
      </c>
      <c r="AM9">
        <f t="shared" si="9"/>
        <v>-11073.399999999907</v>
      </c>
      <c r="AN9">
        <f t="shared" si="10"/>
        <v>540.80000000004657</v>
      </c>
      <c r="AO9">
        <f t="shared" si="11"/>
        <v>540.80000000004657</v>
      </c>
      <c r="AP9">
        <f t="shared" si="12"/>
        <v>0</v>
      </c>
      <c r="AQ9">
        <f>ROUND((-AX9/Batteries!$B$2)*5,0)</f>
        <v>1447</v>
      </c>
      <c r="AR9">
        <f>ROUND((-AX9/Batteries!$B$14),0)</f>
        <v>1560</v>
      </c>
      <c r="AS9">
        <f>ROUND((-AX9/Batteries!$B$26),0)</f>
        <v>3119</v>
      </c>
      <c r="AT9">
        <f>-AX9/Batteries!$I$4</f>
        <v>36.298415301620928</v>
      </c>
      <c r="AU9">
        <f>-AX9/Batteries!$I$11</f>
        <v>33.031317696709984</v>
      </c>
      <c r="AV9">
        <f>-AX9/Batteries!$I$23</f>
        <v>928.56411236704707</v>
      </c>
      <c r="AX9">
        <f>BB58</f>
        <v>-3992.8256831783024</v>
      </c>
      <c r="BC9" t="s">
        <v>268</v>
      </c>
      <c r="BD9">
        <f>AH10/31</f>
        <v>6100.2258064516127</v>
      </c>
      <c r="BH9" s="107"/>
      <c r="BI9" s="104" t="s">
        <v>210</v>
      </c>
      <c r="BJ9" s="104" t="s">
        <v>211</v>
      </c>
      <c r="BK9" s="105" t="s">
        <v>212</v>
      </c>
    </row>
    <row r="10" spans="1:63" x14ac:dyDescent="0.35">
      <c r="A10" s="56" t="s">
        <v>49</v>
      </c>
      <c r="B10" s="56">
        <f>Flores!BO21</f>
        <v>382105</v>
      </c>
      <c r="C10" s="57">
        <f>Flores!BO44</f>
        <v>998679</v>
      </c>
      <c r="D10" s="56">
        <f t="shared" si="0"/>
        <v>616574</v>
      </c>
      <c r="E10" s="56">
        <f>Flores!BO24</f>
        <v>62862</v>
      </c>
      <c r="F10" s="56">
        <f t="shared" si="1"/>
        <v>31.431000000000001</v>
      </c>
      <c r="G10" s="56">
        <f t="shared" si="2"/>
        <v>24.517743628901403</v>
      </c>
      <c r="H10" s="56">
        <f t="shared" si="3"/>
        <v>25</v>
      </c>
      <c r="I10" s="56">
        <v>41.55</v>
      </c>
      <c r="J10" s="30">
        <f t="shared" si="4"/>
        <v>976.14440433213008</v>
      </c>
      <c r="K10" s="144">
        <f t="shared" si="5"/>
        <v>977</v>
      </c>
      <c r="AD10" t="s">
        <v>267</v>
      </c>
      <c r="AE10">
        <f>LARGE(AR9:AR19,1)</f>
        <v>4151</v>
      </c>
      <c r="AG10" t="s">
        <v>268</v>
      </c>
      <c r="AH10">
        <f t="shared" si="6"/>
        <v>189107</v>
      </c>
      <c r="AI10">
        <f t="shared" si="7"/>
        <v>550314.00000000012</v>
      </c>
      <c r="AJ10">
        <f>Flores!BI21</f>
        <v>711262</v>
      </c>
      <c r="AK10">
        <f t="shared" si="13"/>
        <v>540.80000000004657</v>
      </c>
      <c r="AL10">
        <f t="shared" si="8"/>
        <v>921939</v>
      </c>
      <c r="AM10">
        <f t="shared" si="9"/>
        <v>528744</v>
      </c>
      <c r="AN10">
        <f t="shared" si="10"/>
        <v>529284.80000000005</v>
      </c>
      <c r="AO10">
        <f t="shared" si="11"/>
        <v>529284.80000000005</v>
      </c>
      <c r="AP10">
        <f t="shared" si="12"/>
        <v>0</v>
      </c>
      <c r="AQ10">
        <f>ROUND((-AX10/Batteries!$B$2)*5,0)</f>
        <v>242</v>
      </c>
      <c r="AR10">
        <f>ROUND((-AX10/Batteries!$B$14),0)</f>
        <v>260</v>
      </c>
      <c r="AS10">
        <f>ROUND((-AX10/Batteries!$B$26),0)</f>
        <v>521</v>
      </c>
      <c r="AT10">
        <f>-AX10/Batteries!$I$4</f>
        <v>6.0604142787079995</v>
      </c>
      <c r="AU10">
        <f>-AX10/Batteries!$I$11</f>
        <v>5.5149368849923892</v>
      </c>
      <c r="AV10">
        <f>-AX10/Batteries!$I$23</f>
        <v>155.03385364136744</v>
      </c>
      <c r="AX10">
        <f>BO58</f>
        <v>-666.64557065787994</v>
      </c>
      <c r="BC10" t="s">
        <v>270</v>
      </c>
      <c r="BD10">
        <f>AH11/30</f>
        <v>7329.3533333333326</v>
      </c>
      <c r="BH10" s="110" t="s">
        <v>244</v>
      </c>
      <c r="BI10" s="101">
        <v>3853</v>
      </c>
      <c r="BJ10" s="101">
        <v>4154</v>
      </c>
      <c r="BK10" s="106">
        <v>8309</v>
      </c>
    </row>
    <row r="11" spans="1:63" x14ac:dyDescent="0.35">
      <c r="A11" s="56" t="s">
        <v>50</v>
      </c>
      <c r="B11" s="56">
        <f>Flores!BP21</f>
        <v>473900</v>
      </c>
      <c r="C11" s="57">
        <f>Flores!BP44</f>
        <v>964566</v>
      </c>
      <c r="D11" s="56">
        <f t="shared" si="0"/>
        <v>490666</v>
      </c>
      <c r="E11" s="56">
        <f>Flores!BP24</f>
        <v>79895</v>
      </c>
      <c r="F11" s="56">
        <f t="shared" si="1"/>
        <v>39.947499999999998</v>
      </c>
      <c r="G11" s="56">
        <f t="shared" si="2"/>
        <v>19.290749108204519</v>
      </c>
      <c r="H11" s="56">
        <f t="shared" si="3"/>
        <v>20</v>
      </c>
      <c r="I11" s="56">
        <v>31.47</v>
      </c>
      <c r="J11" s="30">
        <f t="shared" si="4"/>
        <v>1288.8083889418494</v>
      </c>
      <c r="K11" s="144">
        <f t="shared" si="5"/>
        <v>1289</v>
      </c>
      <c r="AD11" t="s">
        <v>269</v>
      </c>
      <c r="AE11">
        <f>LARGE(AS8:AS19,1)</f>
        <v>8303</v>
      </c>
      <c r="AG11" t="s">
        <v>270</v>
      </c>
      <c r="AH11">
        <f t="shared" si="6"/>
        <v>219880.59999999998</v>
      </c>
      <c r="AI11">
        <f t="shared" si="7"/>
        <v>237000</v>
      </c>
      <c r="AJ11">
        <f>Flores!BJ21</f>
        <v>583842</v>
      </c>
      <c r="AK11">
        <f t="shared" si="13"/>
        <v>529284.80000000005</v>
      </c>
      <c r="AL11">
        <f t="shared" si="8"/>
        <v>855908</v>
      </c>
      <c r="AM11">
        <f t="shared" si="9"/>
        <v>184814.59999999998</v>
      </c>
      <c r="AN11">
        <f t="shared" si="10"/>
        <v>714099.4</v>
      </c>
      <c r="AO11">
        <f t="shared" si="11"/>
        <v>714099.4</v>
      </c>
      <c r="AP11">
        <f t="shared" si="12"/>
        <v>0</v>
      </c>
      <c r="AQ11">
        <f>ROUND((-AX11/Batteries!$B$2)*5,0)</f>
        <v>618</v>
      </c>
      <c r="AR11">
        <f>ROUND((-AX11/Batteries!$B$14),0)</f>
        <v>666</v>
      </c>
      <c r="AS11">
        <f>ROUND((-AX11/Batteries!$B$26),0)</f>
        <v>1332</v>
      </c>
      <c r="AT11">
        <f>-AX11/Batteries!$I$4</f>
        <v>15.495028386770723</v>
      </c>
      <c r="AU11">
        <f>-AX11/Batteries!$I$11</f>
        <v>14.100373283792022</v>
      </c>
      <c r="AV11">
        <f>-AX11/Batteries!$I$23</f>
        <v>396.38444710343708</v>
      </c>
      <c r="AX11">
        <f>CB58</f>
        <v>-1704.4531225447795</v>
      </c>
      <c r="BC11" t="s">
        <v>272</v>
      </c>
      <c r="BD11">
        <f>AH12/31</f>
        <v>7807.941935483871</v>
      </c>
      <c r="BF11">
        <f>-AZ13/3</f>
        <v>4428.2105966775543</v>
      </c>
      <c r="BH11" s="107" t="s">
        <v>258</v>
      </c>
      <c r="BI11" s="101">
        <v>96.683000000000007</v>
      </c>
      <c r="BJ11" s="114" t="s">
        <v>259</v>
      </c>
      <c r="BK11" s="112"/>
    </row>
    <row r="12" spans="1:63" x14ac:dyDescent="0.35">
      <c r="A12" s="56" t="s">
        <v>51</v>
      </c>
      <c r="B12" s="56">
        <f>Flores!BQ21</f>
        <v>633496</v>
      </c>
      <c r="C12" s="57">
        <f>Flores!BQ44</f>
        <v>896224</v>
      </c>
      <c r="D12" s="56">
        <f t="shared" si="0"/>
        <v>262728</v>
      </c>
      <c r="E12" s="56">
        <f>Flores!BQ24</f>
        <v>90411</v>
      </c>
      <c r="F12" s="56">
        <f t="shared" si="1"/>
        <v>45.205500000000001</v>
      </c>
      <c r="G12" s="56">
        <f t="shared" si="2"/>
        <v>17.046978796827819</v>
      </c>
      <c r="H12" s="56">
        <f t="shared" si="3"/>
        <v>18</v>
      </c>
      <c r="I12" s="56">
        <v>22.77</v>
      </c>
      <c r="J12" s="30">
        <f t="shared" si="4"/>
        <v>1781.2384716732545</v>
      </c>
      <c r="K12" s="144">
        <f t="shared" si="5"/>
        <v>1782</v>
      </c>
      <c r="AG12" t="s">
        <v>272</v>
      </c>
      <c r="AH12">
        <f t="shared" si="6"/>
        <v>242046.2</v>
      </c>
      <c r="AI12">
        <f t="shared" si="7"/>
        <v>216258</v>
      </c>
      <c r="AJ12" s="74">
        <f>Flores!BK21</f>
        <v>523106</v>
      </c>
      <c r="AK12">
        <f t="shared" si="13"/>
        <v>714099.4</v>
      </c>
      <c r="AL12">
        <f t="shared" si="8"/>
        <v>537249</v>
      </c>
      <c r="AM12">
        <f t="shared" si="9"/>
        <v>444161.19999999995</v>
      </c>
      <c r="AN12">
        <f t="shared" si="10"/>
        <v>1158260.6000000001</v>
      </c>
      <c r="AO12">
        <f t="shared" si="11"/>
        <v>1158260.6000000001</v>
      </c>
      <c r="AP12">
        <f t="shared" si="12"/>
        <v>0</v>
      </c>
      <c r="AQ12">
        <f>ROUND((-AX12/Batteries!$B$2)*5,0)</f>
        <v>0</v>
      </c>
      <c r="AR12">
        <f>ROUND((-AX12/Batteries!$B$14),0)</f>
        <v>0</v>
      </c>
      <c r="AS12">
        <f>ROUND((-AX12/Batteries!$B$26),0)</f>
        <v>0</v>
      </c>
      <c r="AT12">
        <f>-AX12/Batteries!$I$4</f>
        <v>0</v>
      </c>
      <c r="AU12">
        <f>-AX12/Batteries!$I$11</f>
        <v>0</v>
      </c>
      <c r="AV12">
        <f>-AX12/Batteries!$I$23</f>
        <v>0</v>
      </c>
      <c r="AX12">
        <f>AO85</f>
        <v>0</v>
      </c>
      <c r="BC12" t="s">
        <v>273</v>
      </c>
      <c r="BD12">
        <f>AH13/30</f>
        <v>7921.1533333333336</v>
      </c>
      <c r="BH12" s="108" t="s">
        <v>261</v>
      </c>
      <c r="BI12" s="101">
        <v>2473.2964866451407</v>
      </c>
      <c r="BJ12" s="115" t="s">
        <v>262</v>
      </c>
      <c r="BK12" s="112"/>
    </row>
    <row r="13" spans="1:63" x14ac:dyDescent="0.35">
      <c r="A13" s="56" t="s">
        <v>52</v>
      </c>
      <c r="B13" s="56">
        <f>Flores!BR21</f>
        <v>686382</v>
      </c>
      <c r="C13" s="57">
        <f>Flores!BR44</f>
        <v>872207</v>
      </c>
      <c r="D13" s="56">
        <f t="shared" si="0"/>
        <v>185825</v>
      </c>
      <c r="E13" s="56">
        <f>Flores!BR24</f>
        <v>55436</v>
      </c>
      <c r="F13" s="56">
        <f t="shared" si="1"/>
        <v>27.718</v>
      </c>
      <c r="G13" s="56">
        <f t="shared" si="2"/>
        <v>27.802049209899707</v>
      </c>
      <c r="H13" s="56">
        <f t="shared" si="3"/>
        <v>28</v>
      </c>
      <c r="I13" s="56">
        <v>19.55</v>
      </c>
      <c r="J13" s="30">
        <f t="shared" si="4"/>
        <v>2074.618925831202</v>
      </c>
      <c r="K13" s="152">
        <f t="shared" si="5"/>
        <v>2075</v>
      </c>
      <c r="AG13" t="s">
        <v>273</v>
      </c>
      <c r="AH13">
        <f t="shared" si="6"/>
        <v>237634.6</v>
      </c>
      <c r="AI13">
        <f t="shared" si="7"/>
        <v>293370</v>
      </c>
      <c r="AJ13">
        <f>Flores!BL21</f>
        <v>444609</v>
      </c>
      <c r="AK13">
        <f t="shared" si="13"/>
        <v>1158260.6000000001</v>
      </c>
      <c r="AL13">
        <f t="shared" si="8"/>
        <v>1255785</v>
      </c>
      <c r="AM13">
        <f t="shared" si="9"/>
        <v>-280171.40000000002</v>
      </c>
      <c r="AN13">
        <f t="shared" si="10"/>
        <v>878089.20000000007</v>
      </c>
      <c r="AO13">
        <f t="shared" si="11"/>
        <v>878089.20000000007</v>
      </c>
      <c r="AP13">
        <f t="shared" si="12"/>
        <v>0</v>
      </c>
      <c r="AQ13">
        <f>ROUND((-AX13/Batteries!$B$2)*5,0)</f>
        <v>3851</v>
      </c>
      <c r="AR13">
        <f>ROUND((-AX13/Batteries!$B$14),0)</f>
        <v>4151</v>
      </c>
      <c r="AS13">
        <f>ROUND((-AX13/Batteries!$B$26),0)</f>
        <v>8303</v>
      </c>
      <c r="AT13">
        <f>-AX13/Batteries!$I$4</f>
        <v>96.615503927510275</v>
      </c>
      <c r="AU13">
        <f>-AX13/Batteries!$I$11</f>
        <v>87.919469159713188</v>
      </c>
      <c r="AV13">
        <f>-AX13/Batteries!$I$23</f>
        <v>2471.5594027967745</v>
      </c>
      <c r="AX13">
        <f>BB85</f>
        <v>-10627.70543202613</v>
      </c>
      <c r="AZ13">
        <f>AX13/0.8</f>
        <v>-13284.631790032663</v>
      </c>
      <c r="BC13" t="s">
        <v>275</v>
      </c>
      <c r="BD13">
        <f>AH14/31</f>
        <v>8540.3161290322569</v>
      </c>
      <c r="BH13" s="184" t="s">
        <v>265</v>
      </c>
      <c r="BI13" s="90" t="s">
        <v>210</v>
      </c>
      <c r="BJ13" s="90" t="s">
        <v>266</v>
      </c>
      <c r="BK13" s="102" t="s">
        <v>261</v>
      </c>
    </row>
    <row r="14" spans="1:63" x14ac:dyDescent="0.35">
      <c r="AG14" t="s">
        <v>275</v>
      </c>
      <c r="AH14">
        <f t="shared" si="6"/>
        <v>264749.8</v>
      </c>
      <c r="AI14">
        <f t="shared" si="7"/>
        <v>240066</v>
      </c>
      <c r="AJ14">
        <f>Flores!BM21</f>
        <v>232187</v>
      </c>
      <c r="AK14">
        <f t="shared" si="13"/>
        <v>878089.20000000007</v>
      </c>
      <c r="AL14">
        <f t="shared" si="8"/>
        <v>938216</v>
      </c>
      <c r="AM14">
        <f t="shared" si="9"/>
        <v>-201213.19999999995</v>
      </c>
      <c r="AN14">
        <f t="shared" si="10"/>
        <v>676876.00000000012</v>
      </c>
      <c r="AO14">
        <f t="shared" si="11"/>
        <v>676876.00000000012</v>
      </c>
      <c r="AP14">
        <f t="shared" si="12"/>
        <v>0</v>
      </c>
      <c r="AQ14">
        <f>ROUND((-AX14/Batteries!$B$2)*5,0)</f>
        <v>3235</v>
      </c>
      <c r="AR14">
        <f>ROUND((-AX14/Batteries!$B$14),0)</f>
        <v>3487</v>
      </c>
      <c r="AS14">
        <f>ROUND((-AX14/Batteries!$B$26),0)</f>
        <v>6975</v>
      </c>
      <c r="AT14">
        <f>-AX14/Batteries!$I$4</f>
        <v>81.159630891718095</v>
      </c>
      <c r="AU14">
        <f>-AX14/Batteries!$I$11</f>
        <v>73.854726986176289</v>
      </c>
      <c r="AV14">
        <f>-AX14/Batteries!$I$23</f>
        <v>2076.176604206742</v>
      </c>
      <c r="AX14">
        <f>BO85</f>
        <v>-8927.5593980889898</v>
      </c>
      <c r="BC14" t="s">
        <v>281</v>
      </c>
      <c r="BD14">
        <f>AH15/31</f>
        <v>8498.6645161290307</v>
      </c>
      <c r="BH14" s="184"/>
      <c r="BI14" s="90">
        <f>ROUND(BF11/Batteries!B2,0)</f>
        <v>321</v>
      </c>
      <c r="BJ14" s="90">
        <f>BF11/Batteries!I4</f>
        <v>40.256459969795948</v>
      </c>
      <c r="BK14" s="103">
        <f>BF11/Batteries!I23</f>
        <v>1029.8164178319894</v>
      </c>
    </row>
    <row r="15" spans="1:63" x14ac:dyDescent="0.35">
      <c r="AG15" t="s">
        <v>281</v>
      </c>
      <c r="AH15">
        <f t="shared" si="6"/>
        <v>263458.59999999998</v>
      </c>
      <c r="AI15">
        <f t="shared" si="7"/>
        <v>212856</v>
      </c>
      <c r="AJ15">
        <f>Flores!BN21</f>
        <v>232890</v>
      </c>
      <c r="AK15">
        <f t="shared" si="13"/>
        <v>676876.00000000012</v>
      </c>
      <c r="AL15">
        <f t="shared" si="8"/>
        <v>978925</v>
      </c>
      <c r="AM15">
        <f t="shared" si="9"/>
        <v>-269720.40000000002</v>
      </c>
      <c r="AN15">
        <f t="shared" si="10"/>
        <v>407155.60000000009</v>
      </c>
      <c r="AO15">
        <f t="shared" si="11"/>
        <v>407155.60000000009</v>
      </c>
      <c r="AP15">
        <f t="shared" si="12"/>
        <v>0</v>
      </c>
      <c r="AQ15">
        <f>ROUND((-AX15/Batteries!$B$2)*5,0)</f>
        <v>3710</v>
      </c>
      <c r="AR15">
        <f>ROUND((-AX15/Batteries!$B$14),0)</f>
        <v>4000</v>
      </c>
      <c r="AS15">
        <f>ROUND((-AX15/Batteries!$B$26),0)</f>
        <v>8000</v>
      </c>
      <c r="AT15">
        <f>-AX15/Batteries!$I$4</f>
        <v>93.085272887640329</v>
      </c>
      <c r="AU15">
        <f>-AX15/Batteries!$I$11</f>
        <v>84.706982276972511</v>
      </c>
      <c r="AV15">
        <f>-AX15/Batteries!$I$23</f>
        <v>2381.2511668931247</v>
      </c>
      <c r="AX15">
        <f>CB85</f>
        <v>-10239.380017640437</v>
      </c>
      <c r="BC15" t="s">
        <v>286</v>
      </c>
      <c r="BD15">
        <f>AH16/30</f>
        <v>7451.2999999999993</v>
      </c>
      <c r="BH15" s="35"/>
      <c r="BI15" s="15" t="s">
        <v>271</v>
      </c>
      <c r="BJ15" s="15" t="s">
        <v>259</v>
      </c>
      <c r="BK15" s="16" t="s">
        <v>262</v>
      </c>
    </row>
    <row r="16" spans="1:63" x14ac:dyDescent="0.35">
      <c r="F16" s="59" t="s">
        <v>284</v>
      </c>
      <c r="G16" s="60" t="s">
        <v>285</v>
      </c>
      <c r="AG16" t="s">
        <v>286</v>
      </c>
      <c r="AH16">
        <f t="shared" si="6"/>
        <v>223538.99999999997</v>
      </c>
      <c r="AI16">
        <f t="shared" si="7"/>
        <v>377172</v>
      </c>
      <c r="AJ16">
        <f>Flores!BO21</f>
        <v>382105</v>
      </c>
      <c r="AK16">
        <f t="shared" si="13"/>
        <v>407155.60000000009</v>
      </c>
      <c r="AL16">
        <f t="shared" si="8"/>
        <v>998679</v>
      </c>
      <c r="AM16">
        <f t="shared" si="9"/>
        <v>-15863</v>
      </c>
      <c r="AN16">
        <f t="shared" si="10"/>
        <v>391292.60000000009</v>
      </c>
      <c r="AO16">
        <f t="shared" si="11"/>
        <v>391292.60000000009</v>
      </c>
      <c r="AP16">
        <f t="shared" si="12"/>
        <v>0</v>
      </c>
      <c r="AQ16">
        <f>ROUND((-AX16/Batteries!$B$2)*5,0)</f>
        <v>1745</v>
      </c>
      <c r="AR16">
        <f>ROUND((-AX16/Batteries!$B$14),0)</f>
        <v>1881</v>
      </c>
      <c r="AS16">
        <f>ROUND((-AX16/Batteries!$B$26),0)</f>
        <v>3763</v>
      </c>
      <c r="AT16">
        <f>-AX16/Batteries!$I$4</f>
        <v>43.783322970482651</v>
      </c>
      <c r="AU16">
        <f>-AX16/Batteries!$I$11</f>
        <v>39.84253413925456</v>
      </c>
      <c r="AV16">
        <f>-AX16/Batteries!$I$23</f>
        <v>1120.0384945937421</v>
      </c>
      <c r="AX16">
        <f>AO112</f>
        <v>-4816.1655267530914</v>
      </c>
      <c r="BC16" t="s">
        <v>289</v>
      </c>
      <c r="BD16">
        <f>AH17/31</f>
        <v>5461.5677419354843</v>
      </c>
    </row>
    <row r="17" spans="6:62" x14ac:dyDescent="0.35">
      <c r="F17" s="61" t="s">
        <v>287</v>
      </c>
      <c r="G17" s="62" t="s">
        <v>397</v>
      </c>
      <c r="H17" s="150"/>
      <c r="AG17" t="s">
        <v>289</v>
      </c>
      <c r="AH17">
        <f t="shared" si="6"/>
        <v>169308.6</v>
      </c>
      <c r="AI17">
        <f t="shared" si="7"/>
        <v>479370</v>
      </c>
      <c r="AJ17">
        <f>Flores!BP21</f>
        <v>473900</v>
      </c>
      <c r="AK17">
        <f t="shared" si="13"/>
        <v>391292.60000000009</v>
      </c>
      <c r="AL17">
        <f t="shared" si="8"/>
        <v>964566</v>
      </c>
      <c r="AM17">
        <f t="shared" si="9"/>
        <v>158012.60000000009</v>
      </c>
      <c r="AN17">
        <f t="shared" si="10"/>
        <v>549305.20000000019</v>
      </c>
      <c r="AO17">
        <f t="shared" si="11"/>
        <v>549305.20000000019</v>
      </c>
      <c r="AP17">
        <f t="shared" si="12"/>
        <v>0</v>
      </c>
      <c r="AQ17">
        <f>ROUND((-AX17/Batteries!$B$2)*5,0)</f>
        <v>544</v>
      </c>
      <c r="AR17">
        <f>ROUND((-AX17/Batteries!$B$14),0)</f>
        <v>587</v>
      </c>
      <c r="AS17">
        <f>ROUND((-AX17/Batteries!$B$26),0)</f>
        <v>1174</v>
      </c>
      <c r="AT17">
        <f>-AX17/Batteries!$I$4</f>
        <v>13.660273889509554</v>
      </c>
      <c r="AU17">
        <f>-AX17/Batteries!$I$11</f>
        <v>12.430758833934902</v>
      </c>
      <c r="AV17">
        <f>-AX17/Batteries!$I$23</f>
        <v>349.44886694094208</v>
      </c>
      <c r="AX17">
        <f>BB112</f>
        <v>-1502.630127846051</v>
      </c>
      <c r="BC17" t="s">
        <v>292</v>
      </c>
      <c r="BD17">
        <f>AH18/30</f>
        <v>4083.4199999999996</v>
      </c>
      <c r="BH17" s="31" t="s">
        <v>274</v>
      </c>
      <c r="BI17" s="32"/>
      <c r="BJ17" s="3"/>
    </row>
    <row r="18" spans="6:62" x14ac:dyDescent="0.35">
      <c r="F18" s="59" t="s">
        <v>290</v>
      </c>
      <c r="G18" s="60" t="s">
        <v>291</v>
      </c>
      <c r="AG18" t="s">
        <v>292</v>
      </c>
      <c r="AH18">
        <f t="shared" si="6"/>
        <v>122502.59999999999</v>
      </c>
      <c r="AI18">
        <f t="shared" si="7"/>
        <v>542466</v>
      </c>
      <c r="AJ18">
        <f>Flores!BQ21</f>
        <v>633496</v>
      </c>
      <c r="AK18">
        <f t="shared" si="13"/>
        <v>549305.20000000019</v>
      </c>
      <c r="AL18">
        <f t="shared" si="8"/>
        <v>896224</v>
      </c>
      <c r="AM18">
        <f t="shared" si="9"/>
        <v>402240.60000000009</v>
      </c>
      <c r="AN18">
        <f t="shared" si="10"/>
        <v>951545.80000000028</v>
      </c>
      <c r="AO18">
        <f t="shared" si="11"/>
        <v>951545.80000000028</v>
      </c>
      <c r="AP18">
        <f t="shared" si="12"/>
        <v>0</v>
      </c>
      <c r="AQ18">
        <f>ROUND((-AX18/Batteries!$B$2)*5,0)</f>
        <v>41</v>
      </c>
      <c r="AR18">
        <f>ROUND((-AX18/Batteries!$B$14),0)</f>
        <v>44</v>
      </c>
      <c r="AS18">
        <f>ROUND((-AX18/Batteries!$B$26),0)</f>
        <v>89</v>
      </c>
      <c r="AT18">
        <f>-AX18/Batteries!$I$4</f>
        <v>1.0354878314102982</v>
      </c>
      <c r="AU18">
        <f>-AX18/Batteries!$I$11</f>
        <v>0.94228707358647257</v>
      </c>
      <c r="AV18">
        <f>-AX18/Batteries!$I$23</f>
        <v>26.489223594216934</v>
      </c>
      <c r="AX18">
        <f>BO112</f>
        <v>-113.90366145513281</v>
      </c>
      <c r="BC18" t="s">
        <v>295</v>
      </c>
      <c r="BD18">
        <f>AH19/31</f>
        <v>3392.8709677419356</v>
      </c>
      <c r="BH18" s="33"/>
      <c r="BJ18" s="14"/>
    </row>
    <row r="19" spans="6:62" x14ac:dyDescent="0.35">
      <c r="F19" s="61" t="s">
        <v>293</v>
      </c>
      <c r="G19" s="62" t="s">
        <v>294</v>
      </c>
      <c r="H19" s="150"/>
      <c r="AG19" t="s">
        <v>295</v>
      </c>
      <c r="AH19">
        <f t="shared" si="6"/>
        <v>105179</v>
      </c>
      <c r="AI19">
        <f t="shared" si="7"/>
        <v>332616</v>
      </c>
      <c r="AJ19">
        <f>Flores!BR21</f>
        <v>686382</v>
      </c>
      <c r="AK19">
        <f t="shared" si="13"/>
        <v>951545.80000000028</v>
      </c>
      <c r="AL19">
        <f t="shared" si="8"/>
        <v>872207</v>
      </c>
      <c r="AM19">
        <f t="shared" si="9"/>
        <v>251970</v>
      </c>
      <c r="AN19">
        <f t="shared" si="10"/>
        <v>1203515.8000000003</v>
      </c>
      <c r="AO19">
        <f t="shared" si="11"/>
        <v>1203515.8000000003</v>
      </c>
      <c r="AP19">
        <f t="shared" si="12"/>
        <v>0</v>
      </c>
      <c r="AQ19">
        <f>ROUND((-AX19/Batteries!$B$2)*5,0)</f>
        <v>0</v>
      </c>
      <c r="AR19">
        <f>ROUND((-AX19/Batteries!$B$14),0)</f>
        <v>0</v>
      </c>
      <c r="AS19">
        <f>ROUND((-AX19/Batteries!$B$26),0)</f>
        <v>0</v>
      </c>
      <c r="AT19">
        <f>-AX19/Batteries!$I$4</f>
        <v>0</v>
      </c>
      <c r="AU19">
        <f>-AX19/Batteries!$I$11</f>
        <v>0</v>
      </c>
      <c r="AV19">
        <f>-AX19/Batteries!$I$23</f>
        <v>0</v>
      </c>
      <c r="AX19">
        <f>CB112</f>
        <v>0</v>
      </c>
      <c r="BH19" s="35" t="s">
        <v>282</v>
      </c>
      <c r="BI19" s="15" t="s">
        <v>398</v>
      </c>
      <c r="BJ19" s="16"/>
    </row>
    <row r="20" spans="6:62" x14ac:dyDescent="0.35">
      <c r="F20" s="59" t="s">
        <v>296</v>
      </c>
      <c r="G20" s="60" t="s">
        <v>297</v>
      </c>
    </row>
    <row r="21" spans="6:62" x14ac:dyDescent="0.35">
      <c r="F21" s="61" t="s">
        <v>298</v>
      </c>
      <c r="G21" s="62" t="s">
        <v>299</v>
      </c>
      <c r="H21" s="150"/>
    </row>
    <row r="22" spans="6:62" ht="36" x14ac:dyDescent="0.35">
      <c r="F22" s="59" t="s">
        <v>300</v>
      </c>
      <c r="G22" s="60" t="s">
        <v>301</v>
      </c>
      <c r="W22" s="64" t="s">
        <v>492</v>
      </c>
    </row>
    <row r="23" spans="6:62" x14ac:dyDescent="0.35">
      <c r="F23" s="61" t="s">
        <v>302</v>
      </c>
      <c r="G23" s="62" t="s">
        <v>285</v>
      </c>
      <c r="H23" s="150"/>
    </row>
    <row r="24" spans="6:62" x14ac:dyDescent="0.35">
      <c r="F24" s="59" t="s">
        <v>303</v>
      </c>
      <c r="G24" s="60" t="s">
        <v>399</v>
      </c>
    </row>
    <row r="25" spans="6:62" x14ac:dyDescent="0.35">
      <c r="F25" s="61" t="s">
        <v>305</v>
      </c>
      <c r="G25" s="62" t="s">
        <v>400</v>
      </c>
      <c r="H25" s="150"/>
    </row>
    <row r="26" spans="6:62" x14ac:dyDescent="0.35">
      <c r="F26" s="59" t="s">
        <v>307</v>
      </c>
      <c r="G26" s="60" t="s">
        <v>401</v>
      </c>
      <c r="AC26">
        <f>2*8*29.6</f>
        <v>473.6</v>
      </c>
    </row>
    <row r="27" spans="6:62" x14ac:dyDescent="0.35">
      <c r="F27" s="61" t="s">
        <v>309</v>
      </c>
      <c r="G27" s="62" t="s">
        <v>402</v>
      </c>
      <c r="H27" s="150"/>
    </row>
    <row r="28" spans="6:62" x14ac:dyDescent="0.35">
      <c r="F28" s="59" t="s">
        <v>311</v>
      </c>
      <c r="G28" s="60" t="s">
        <v>403</v>
      </c>
    </row>
    <row r="29" spans="6:62" x14ac:dyDescent="0.35">
      <c r="F29" s="61" t="s">
        <v>313</v>
      </c>
      <c r="G29" s="62" t="s">
        <v>285</v>
      </c>
      <c r="H29" s="150"/>
    </row>
    <row r="30" spans="6:62" x14ac:dyDescent="0.35">
      <c r="F30" s="59" t="s">
        <v>316</v>
      </c>
      <c r="G30" s="60" t="s">
        <v>404</v>
      </c>
    </row>
    <row r="31" spans="6:62" x14ac:dyDescent="0.35">
      <c r="F31" s="61" t="s">
        <v>319</v>
      </c>
      <c r="G31" s="62" t="s">
        <v>320</v>
      </c>
      <c r="H31" s="150"/>
    </row>
    <row r="32" spans="6:62" x14ac:dyDescent="0.35">
      <c r="F32" s="59" t="s">
        <v>321</v>
      </c>
      <c r="G32" s="60" t="s">
        <v>405</v>
      </c>
      <c r="AD32" s="81" t="s">
        <v>326</v>
      </c>
      <c r="AF32" t="s">
        <v>240</v>
      </c>
      <c r="AG32">
        <f>AD7</f>
        <v>5380</v>
      </c>
    </row>
    <row r="33" spans="6:89" x14ac:dyDescent="0.35">
      <c r="F33" s="61" t="s">
        <v>323</v>
      </c>
      <c r="G33" s="62" t="s">
        <v>406</v>
      </c>
      <c r="H33" s="150"/>
      <c r="AD33" s="81" t="s">
        <v>327</v>
      </c>
      <c r="AF33" t="s">
        <v>328</v>
      </c>
      <c r="AG33">
        <f>(AG32*11000)/2160</f>
        <v>27398.14814814815</v>
      </c>
      <c r="AM33" t="s">
        <v>164</v>
      </c>
      <c r="AZ33" t="s">
        <v>142</v>
      </c>
      <c r="BM33" t="s">
        <v>167</v>
      </c>
      <c r="BZ33" t="s">
        <v>169</v>
      </c>
    </row>
    <row r="34" spans="6:89" x14ac:dyDescent="0.35">
      <c r="F34" s="59" t="s">
        <v>325</v>
      </c>
      <c r="G34" s="60" t="s">
        <v>285</v>
      </c>
      <c r="W34">
        <f>3*1.5*29.6</f>
        <v>133.20000000000002</v>
      </c>
      <c r="AF34" t="s">
        <v>329</v>
      </c>
      <c r="AG34">
        <f>AG33*10^-6</f>
        <v>2.7398148148148147E-2</v>
      </c>
    </row>
    <row r="35" spans="6:89" x14ac:dyDescent="0.35">
      <c r="Z35" t="s">
        <v>330</v>
      </c>
      <c r="AA35">
        <f>W34*AC26</f>
        <v>63083.520000000011</v>
      </c>
    </row>
    <row r="36" spans="6:89" x14ac:dyDescent="0.35">
      <c r="Z36" t="s">
        <v>329</v>
      </c>
      <c r="AA36">
        <f>AA35*10^-6</f>
        <v>6.3083520000000004E-2</v>
      </c>
    </row>
    <row r="39" spans="6:89" x14ac:dyDescent="0.35">
      <c r="Z39" s="86" t="s">
        <v>370</v>
      </c>
      <c r="AN39" t="s">
        <v>181</v>
      </c>
      <c r="AO39">
        <v>27987.258064516129</v>
      </c>
      <c r="BA39" t="s">
        <v>181</v>
      </c>
      <c r="BB39">
        <v>31057.071428571428</v>
      </c>
      <c r="BN39" t="s">
        <v>181</v>
      </c>
      <c r="BO39">
        <v>29739.967741935485</v>
      </c>
      <c r="CA39" t="s">
        <v>181</v>
      </c>
      <c r="CB39">
        <v>28530.266666666666</v>
      </c>
    </row>
    <row r="40" spans="6:89" x14ac:dyDescent="0.35">
      <c r="AN40" t="s">
        <v>201</v>
      </c>
      <c r="AO40">
        <f>1470+AI8/31</f>
        <v>10290</v>
      </c>
      <c r="BA40" t="s">
        <v>201</v>
      </c>
      <c r="BB40">
        <f>2097.5+AI9/28</f>
        <v>14682.500000000002</v>
      </c>
      <c r="BN40" t="s">
        <v>201</v>
      </c>
      <c r="BO40">
        <f>2958.67741935484+AI10/31</f>
        <v>20710.741935483878</v>
      </c>
      <c r="CA40" t="s">
        <v>201</v>
      </c>
      <c r="CB40">
        <f>1316.66666666667+AI11/30</f>
        <v>9216.6666666666697</v>
      </c>
    </row>
    <row r="41" spans="6:89" x14ac:dyDescent="0.35">
      <c r="AN41" t="s">
        <v>93</v>
      </c>
      <c r="AO41">
        <f>6.06451612903226+AH8/31</f>
        <v>3596.7806451612905</v>
      </c>
      <c r="BA41" t="s">
        <v>93</v>
      </c>
      <c r="BB41">
        <f>7.60714285714286+BD8</f>
        <v>5016.7714285714292</v>
      </c>
      <c r="BN41" t="s">
        <v>93</v>
      </c>
      <c r="BO41">
        <f>8.87096774193548+BD9</f>
        <v>6109.0967741935483</v>
      </c>
      <c r="CA41" t="s">
        <v>93</v>
      </c>
      <c r="CB41">
        <f>10.5333333333333+BD10</f>
        <v>7339.8866666666654</v>
      </c>
    </row>
    <row r="42" spans="6:89" x14ac:dyDescent="0.35">
      <c r="AN42" t="s">
        <v>170</v>
      </c>
      <c r="AO42">
        <v>0</v>
      </c>
      <c r="BA42" t="s">
        <v>170</v>
      </c>
      <c r="BB42">
        <v>0</v>
      </c>
      <c r="BN42" t="s">
        <v>170</v>
      </c>
      <c r="BO42">
        <v>0</v>
      </c>
      <c r="CA42" t="s">
        <v>170</v>
      </c>
      <c r="CB42">
        <v>0</v>
      </c>
    </row>
    <row r="43" spans="6:89" x14ac:dyDescent="0.35">
      <c r="AN43" t="s">
        <v>172</v>
      </c>
      <c r="AO43">
        <v>14475.129032258064</v>
      </c>
      <c r="BA43" t="s">
        <v>172</v>
      </c>
      <c r="BB43">
        <v>10962.321428571429</v>
      </c>
      <c r="BN43" t="s">
        <v>172</v>
      </c>
      <c r="BO43">
        <v>19976.387096774193</v>
      </c>
      <c r="CA43" t="s">
        <v>172</v>
      </c>
      <c r="CB43">
        <v>18134.2</v>
      </c>
    </row>
    <row r="45" spans="6:89" x14ac:dyDescent="0.35">
      <c r="AO45" t="s">
        <v>154</v>
      </c>
      <c r="AP45" t="s">
        <v>155</v>
      </c>
      <c r="AQ45" t="s">
        <v>156</v>
      </c>
      <c r="AR45" t="s">
        <v>157</v>
      </c>
      <c r="AS45" t="s">
        <v>158</v>
      </c>
      <c r="AT45" t="s">
        <v>159</v>
      </c>
      <c r="AU45" t="s">
        <v>160</v>
      </c>
      <c r="AV45" t="s">
        <v>161</v>
      </c>
      <c r="AW45" t="s">
        <v>162</v>
      </c>
      <c r="AX45" t="s">
        <v>163</v>
      </c>
      <c r="BB45" t="s">
        <v>154</v>
      </c>
      <c r="BC45" t="s">
        <v>155</v>
      </c>
      <c r="BD45" t="s">
        <v>156</v>
      </c>
      <c r="BE45" t="s">
        <v>157</v>
      </c>
      <c r="BF45" t="s">
        <v>158</v>
      </c>
      <c r="BG45" t="s">
        <v>159</v>
      </c>
      <c r="BH45" t="s">
        <v>160</v>
      </c>
      <c r="BI45" t="s">
        <v>161</v>
      </c>
      <c r="BJ45" t="s">
        <v>162</v>
      </c>
      <c r="BK45" t="s">
        <v>163</v>
      </c>
      <c r="BO45" t="s">
        <v>154</v>
      </c>
      <c r="BP45" t="s">
        <v>155</v>
      </c>
      <c r="BQ45" t="s">
        <v>156</v>
      </c>
      <c r="BR45" t="s">
        <v>157</v>
      </c>
      <c r="BS45" t="s">
        <v>158</v>
      </c>
      <c r="BT45" t="s">
        <v>159</v>
      </c>
      <c r="BU45" t="s">
        <v>160</v>
      </c>
      <c r="BV45" t="s">
        <v>161</v>
      </c>
      <c r="BW45" t="s">
        <v>162</v>
      </c>
      <c r="BX45" t="s">
        <v>163</v>
      </c>
      <c r="CB45" t="s">
        <v>154</v>
      </c>
      <c r="CC45" t="s">
        <v>155</v>
      </c>
      <c r="CD45" t="s">
        <v>156</v>
      </c>
      <c r="CE45" t="s">
        <v>157</v>
      </c>
      <c r="CF45" t="s">
        <v>158</v>
      </c>
      <c r="CG45" t="s">
        <v>159</v>
      </c>
      <c r="CH45" t="s">
        <v>160</v>
      </c>
      <c r="CI45" t="s">
        <v>161</v>
      </c>
      <c r="CJ45" t="s">
        <v>162</v>
      </c>
      <c r="CK45" t="s">
        <v>163</v>
      </c>
    </row>
    <row r="46" spans="6:89" x14ac:dyDescent="0.35">
      <c r="AN46" t="s">
        <v>181</v>
      </c>
      <c r="AO46">
        <v>8.1081081081081086E-2</v>
      </c>
      <c r="AP46">
        <v>7.4324324324324342E-2</v>
      </c>
      <c r="AQ46">
        <v>7.4324324324324342E-2</v>
      </c>
      <c r="AR46">
        <v>8.1081081081081086E-2</v>
      </c>
      <c r="AS46">
        <v>0.10810810810810813</v>
      </c>
      <c r="AT46">
        <v>0.10810810810810813</v>
      </c>
      <c r="AU46">
        <v>0.10135135135135136</v>
      </c>
      <c r="AV46">
        <v>0.10135135135135136</v>
      </c>
      <c r="AW46">
        <v>0.13513513513513514</v>
      </c>
      <c r="AX46">
        <v>0.13513513513513514</v>
      </c>
      <c r="BA46" t="s">
        <v>181</v>
      </c>
      <c r="BB46">
        <v>8.3333333333333329E-2</v>
      </c>
      <c r="BC46">
        <v>7.6388888888888895E-2</v>
      </c>
      <c r="BD46">
        <v>7.6388888888888895E-2</v>
      </c>
      <c r="BE46">
        <v>8.3333333333333329E-2</v>
      </c>
      <c r="BF46">
        <v>0.10416666666666666</v>
      </c>
      <c r="BG46">
        <v>0.10416666666666666</v>
      </c>
      <c r="BH46">
        <v>9.722222222222221E-2</v>
      </c>
      <c r="BI46">
        <v>9.722222222222221E-2</v>
      </c>
      <c r="BJ46">
        <v>0.1388888888888889</v>
      </c>
      <c r="BK46">
        <v>0.1388888888888889</v>
      </c>
      <c r="BN46" t="s">
        <v>181</v>
      </c>
      <c r="BO46">
        <v>8.6330935251798538E-2</v>
      </c>
      <c r="BP46">
        <v>7.9136690647482008E-2</v>
      </c>
      <c r="BQ46">
        <v>7.9136690647482008E-2</v>
      </c>
      <c r="BR46">
        <v>8.6330935251798538E-2</v>
      </c>
      <c r="BS46">
        <v>0.10791366906474818</v>
      </c>
      <c r="BT46">
        <v>0.10071942446043164</v>
      </c>
      <c r="BU46">
        <v>9.3525179856115095E-2</v>
      </c>
      <c r="BV46">
        <v>9.3525179856115095E-2</v>
      </c>
      <c r="BW46">
        <v>0.1438848920863309</v>
      </c>
      <c r="BX46">
        <v>0.12949640287769781</v>
      </c>
      <c r="CA46" t="s">
        <v>181</v>
      </c>
      <c r="CB46">
        <v>8.8560885608856083E-2</v>
      </c>
      <c r="CC46">
        <v>8.1180811808118078E-2</v>
      </c>
      <c r="CD46">
        <v>8.1180811808118078E-2</v>
      </c>
      <c r="CE46">
        <v>8.8560885608856083E-2</v>
      </c>
      <c r="CF46">
        <v>0.1070110701107011</v>
      </c>
      <c r="CG46">
        <v>0.10332103321033209</v>
      </c>
      <c r="CH46">
        <v>9.5940959409594101E-2</v>
      </c>
      <c r="CI46">
        <v>9.5940959409594101E-2</v>
      </c>
      <c r="CJ46">
        <v>0.13284132841328414</v>
      </c>
      <c r="CK46">
        <v>0.12546125461254612</v>
      </c>
    </row>
    <row r="47" spans="6:89" x14ac:dyDescent="0.35">
      <c r="AN47" t="s">
        <v>181</v>
      </c>
      <c r="AO47">
        <v>2269.2371403661728</v>
      </c>
      <c r="AP47">
        <v>2080.1340453356588</v>
      </c>
      <c r="AQ47">
        <v>2080.1340453356588</v>
      </c>
      <c r="AR47">
        <v>2269.2371403661728</v>
      </c>
      <c r="AS47">
        <v>3025.6495204882308</v>
      </c>
      <c r="AT47">
        <v>3025.6495204882308</v>
      </c>
      <c r="AU47">
        <v>2836.5464254577159</v>
      </c>
      <c r="AV47">
        <v>2836.5464254577159</v>
      </c>
      <c r="AW47">
        <v>3782.0619006102879</v>
      </c>
      <c r="AX47">
        <v>3782.0619006102879</v>
      </c>
      <c r="BA47" t="s">
        <v>181</v>
      </c>
      <c r="BB47">
        <v>2588.0892857142853</v>
      </c>
      <c r="BC47">
        <v>2372.4151785714289</v>
      </c>
      <c r="BD47">
        <v>2372.4151785714289</v>
      </c>
      <c r="BE47">
        <v>2588.0892857142853</v>
      </c>
      <c r="BF47">
        <v>3235.1116071428569</v>
      </c>
      <c r="BG47">
        <v>3235.1116071428569</v>
      </c>
      <c r="BH47">
        <v>3019.4374999999995</v>
      </c>
      <c r="BI47">
        <v>3019.4374999999995</v>
      </c>
      <c r="BJ47">
        <v>4313.4821428571431</v>
      </c>
      <c r="BK47">
        <v>4313.4821428571431</v>
      </c>
      <c r="BN47" t="s">
        <v>181</v>
      </c>
      <c r="BO47">
        <v>2567.4792295196094</v>
      </c>
      <c r="BP47">
        <v>2353.5226270596427</v>
      </c>
      <c r="BQ47">
        <v>2353.5226270596427</v>
      </c>
      <c r="BR47">
        <v>2567.4792295196094</v>
      </c>
      <c r="BS47">
        <v>3209.3490368995122</v>
      </c>
      <c r="BT47">
        <v>2995.3924344395446</v>
      </c>
      <c r="BU47">
        <v>2781.4358319795774</v>
      </c>
      <c r="BV47">
        <v>2781.4358319795774</v>
      </c>
      <c r="BW47">
        <v>4279.1320491993492</v>
      </c>
      <c r="BX47">
        <v>3851.2188442794145</v>
      </c>
      <c r="CA47" t="s">
        <v>181</v>
      </c>
      <c r="CB47">
        <v>2526.6656826568264</v>
      </c>
      <c r="CC47">
        <v>2316.1102091020907</v>
      </c>
      <c r="CD47">
        <v>2316.1102091020907</v>
      </c>
      <c r="CE47">
        <v>2526.6656826568264</v>
      </c>
      <c r="CF47">
        <v>3053.0543665436653</v>
      </c>
      <c r="CG47">
        <v>2947.7766297662974</v>
      </c>
      <c r="CH47">
        <v>2737.2211562115622</v>
      </c>
      <c r="CI47">
        <v>2737.2211562115622</v>
      </c>
      <c r="CJ47">
        <v>3789.9985239852399</v>
      </c>
      <c r="CK47">
        <v>3579.4430504305042</v>
      </c>
    </row>
    <row r="48" spans="6:89" x14ac:dyDescent="0.35">
      <c r="AN48" t="s">
        <v>184</v>
      </c>
      <c r="AO48">
        <v>7.4657935018951752E-2</v>
      </c>
      <c r="AP48">
        <v>8.1075774645219992E-2</v>
      </c>
      <c r="AQ48">
        <v>0.11872967269772791</v>
      </c>
      <c r="AR48">
        <v>7.9929120165246531E-2</v>
      </c>
      <c r="AS48">
        <v>0.1388849199665988</v>
      </c>
      <c r="AT48">
        <v>9.5549583288503492E-2</v>
      </c>
      <c r="AU48">
        <v>8.7648304485012943E-2</v>
      </c>
      <c r="AV48">
        <v>0.12139753745449966</v>
      </c>
      <c r="AW48">
        <v>8.1487290222716599E-2</v>
      </c>
      <c r="AX48">
        <v>0.1206398620555223</v>
      </c>
      <c r="BA48" t="s">
        <v>184</v>
      </c>
      <c r="BB48">
        <v>8.0345500386932805E-2</v>
      </c>
      <c r="BC48">
        <v>8.3282301927818297E-2</v>
      </c>
      <c r="BD48">
        <v>0.11474534197338968</v>
      </c>
      <c r="BE48">
        <v>7.3663926745629632E-2</v>
      </c>
      <c r="BF48">
        <v>0.11845534186065423</v>
      </c>
      <c r="BG48">
        <v>8.9806917743287112E-2</v>
      </c>
      <c r="BH48">
        <v>9.2714259505620358E-2</v>
      </c>
      <c r="BI48">
        <v>0.13130173569421977</v>
      </c>
      <c r="BJ48">
        <v>8.3336874941375552E-2</v>
      </c>
      <c r="BK48">
        <v>0.13234779922107265</v>
      </c>
      <c r="BN48" t="s">
        <v>184</v>
      </c>
      <c r="BO48">
        <v>7.4843926383804507E-2</v>
      </c>
      <c r="BP48">
        <v>7.8719375100528247E-2</v>
      </c>
      <c r="BQ48">
        <v>0.11987996414211907</v>
      </c>
      <c r="BR48">
        <v>8.457177305182921E-2</v>
      </c>
      <c r="BS48">
        <v>0.13863440643671709</v>
      </c>
      <c r="BT48">
        <v>9.8281911738458114E-2</v>
      </c>
      <c r="BU48">
        <v>9.7798757198093597E-2</v>
      </c>
      <c r="BV48">
        <v>0.12711513568828553</v>
      </c>
      <c r="BW48">
        <v>6.9680246081554792E-2</v>
      </c>
      <c r="BX48">
        <v>0.11047450417860982</v>
      </c>
      <c r="CA48" t="s">
        <v>184</v>
      </c>
      <c r="CB48">
        <v>7.1557579692083303E-2</v>
      </c>
      <c r="CC48">
        <v>7.3170747131171165E-2</v>
      </c>
      <c r="CD48">
        <v>0.11552946964353078</v>
      </c>
      <c r="CE48">
        <v>8.2832198217374892E-2</v>
      </c>
      <c r="CF48">
        <v>0.13713467899805662</v>
      </c>
      <c r="CG48">
        <v>9.5412797782384151E-2</v>
      </c>
      <c r="CH48">
        <v>9.7051593348614698E-2</v>
      </c>
      <c r="CI48">
        <v>0.13918282237865268</v>
      </c>
      <c r="CJ48">
        <v>7.829496733347488E-2</v>
      </c>
      <c r="CK48">
        <v>0.10983314547465674</v>
      </c>
    </row>
    <row r="49" spans="39:89" x14ac:dyDescent="0.35">
      <c r="AN49" t="s">
        <v>185</v>
      </c>
      <c r="AO49">
        <f t="shared" ref="AO49:AX49" si="14">$AO$40*AO48</f>
        <v>768.2301513450135</v>
      </c>
      <c r="AP49">
        <f t="shared" si="14"/>
        <v>834.26972109931376</v>
      </c>
      <c r="AQ49">
        <f t="shared" si="14"/>
        <v>1221.7283320596202</v>
      </c>
      <c r="AR49">
        <f t="shared" si="14"/>
        <v>822.47064650038681</v>
      </c>
      <c r="AS49">
        <f t="shared" si="14"/>
        <v>1429.1258264563016</v>
      </c>
      <c r="AT49">
        <f t="shared" si="14"/>
        <v>983.20521203870089</v>
      </c>
      <c r="AU49">
        <f t="shared" si="14"/>
        <v>901.90105315078313</v>
      </c>
      <c r="AV49">
        <f t="shared" si="14"/>
        <v>1249.1806604068015</v>
      </c>
      <c r="AW49">
        <f t="shared" si="14"/>
        <v>838.50421639175386</v>
      </c>
      <c r="AX49">
        <f t="shared" si="14"/>
        <v>1241.3841805513243</v>
      </c>
      <c r="BA49" t="s">
        <v>185</v>
      </c>
      <c r="BB49">
        <f t="shared" ref="BB49:BK49" si="15">$BB$40*BB48</f>
        <v>1179.6728094311411</v>
      </c>
      <c r="BC49">
        <f t="shared" si="15"/>
        <v>1222.7923980551923</v>
      </c>
      <c r="BD49">
        <f t="shared" si="15"/>
        <v>1684.7484835242942</v>
      </c>
      <c r="BE49">
        <f t="shared" si="15"/>
        <v>1081.5706044427072</v>
      </c>
      <c r="BF49">
        <f t="shared" si="15"/>
        <v>1739.2205568690561</v>
      </c>
      <c r="BG49">
        <f t="shared" si="15"/>
        <v>1318.5900697658133</v>
      </c>
      <c r="BH49">
        <f t="shared" si="15"/>
        <v>1361.2771151912712</v>
      </c>
      <c r="BI49">
        <f t="shared" si="15"/>
        <v>1927.8377343303821</v>
      </c>
      <c r="BJ49">
        <f t="shared" si="15"/>
        <v>1223.5936663267466</v>
      </c>
      <c r="BK49">
        <f t="shared" si="15"/>
        <v>1943.1965620633994</v>
      </c>
      <c r="BN49" t="s">
        <v>185</v>
      </c>
      <c r="BO49">
        <f t="shared" ref="BO49:BX49" si="16">$BO$40*BO48</f>
        <v>1550.0732447733283</v>
      </c>
      <c r="BP49">
        <f t="shared" si="16"/>
        <v>1630.3366630295959</v>
      </c>
      <c r="BQ49">
        <f t="shared" si="16"/>
        <v>2482.8030005824889</v>
      </c>
      <c r="BR49">
        <f t="shared" si="16"/>
        <v>1751.5441667027446</v>
      </c>
      <c r="BS49">
        <f t="shared" si="16"/>
        <v>2871.221415089833</v>
      </c>
      <c r="BT49">
        <f t="shared" si="16"/>
        <v>2035.4913109412098</v>
      </c>
      <c r="BU49">
        <f t="shared" si="16"/>
        <v>2025.4848219407629</v>
      </c>
      <c r="BV49">
        <f t="shared" si="16"/>
        <v>2632.6487713340985</v>
      </c>
      <c r="BW49">
        <f t="shared" si="16"/>
        <v>1443.1295945960931</v>
      </c>
      <c r="BX49">
        <f t="shared" si="16"/>
        <v>2288.0089464937232</v>
      </c>
      <c r="CA49" t="s">
        <v>185</v>
      </c>
      <c r="CB49">
        <f t="shared" ref="CB49:CK49" si="17">$CB$40*CB48</f>
        <v>659.52235949536805</v>
      </c>
      <c r="CC49">
        <f t="shared" si="17"/>
        <v>674.3903860589611</v>
      </c>
      <c r="CD49">
        <f t="shared" si="17"/>
        <v>1064.7966118812089</v>
      </c>
      <c r="CE49">
        <f t="shared" si="17"/>
        <v>763.43676023680553</v>
      </c>
      <c r="CF49">
        <f t="shared" si="17"/>
        <v>1263.9246247654223</v>
      </c>
      <c r="CG49">
        <f t="shared" si="17"/>
        <v>879.38795289430755</v>
      </c>
      <c r="CH49">
        <f t="shared" si="17"/>
        <v>894.4921853630658</v>
      </c>
      <c r="CI49">
        <f t="shared" si="17"/>
        <v>1282.8016795899159</v>
      </c>
      <c r="CJ49">
        <f t="shared" si="17"/>
        <v>721.61861559019371</v>
      </c>
      <c r="CK49">
        <f t="shared" si="17"/>
        <v>1012.29549079142</v>
      </c>
    </row>
    <row r="50" spans="39:89" x14ac:dyDescent="0.35">
      <c r="AN50" t="s">
        <v>93</v>
      </c>
      <c r="AO50">
        <v>1.7829072544751903E-7</v>
      </c>
      <c r="AP50">
        <v>2.1757477009680893E-7</v>
      </c>
      <c r="AQ50">
        <v>1.2389666757922847E-7</v>
      </c>
      <c r="AR50">
        <v>2.3207966109195814E-6</v>
      </c>
      <c r="AS50">
        <v>0.15954275056723571</v>
      </c>
      <c r="AT50">
        <v>0.26240855765139226</v>
      </c>
      <c r="AU50">
        <v>0.30085964801852333</v>
      </c>
      <c r="AV50">
        <v>0.27443663084783759</v>
      </c>
      <c r="AW50">
        <v>2.7494121969204267E-3</v>
      </c>
      <c r="AX50">
        <v>1.6015931661797272E-7</v>
      </c>
      <c r="BA50" t="s">
        <v>93</v>
      </c>
      <c r="BB50">
        <v>1.199241737946649E-7</v>
      </c>
      <c r="BC50">
        <v>1.1174709786890969E-7</v>
      </c>
      <c r="BD50">
        <v>2.2622048297229263E-7</v>
      </c>
      <c r="BE50">
        <v>9.4459243923463633E-5</v>
      </c>
      <c r="BF50">
        <v>0.2071680095949533</v>
      </c>
      <c r="BG50">
        <v>0.27145834679059944</v>
      </c>
      <c r="BH50">
        <v>0.25871404851377799</v>
      </c>
      <c r="BI50">
        <v>0.25254417853245076</v>
      </c>
      <c r="BJ50">
        <v>1.0020352253187134E-2</v>
      </c>
      <c r="BK50">
        <v>1.4717935355868854E-7</v>
      </c>
      <c r="BN50" t="s">
        <v>93</v>
      </c>
      <c r="BO50">
        <v>3.3469754944931959E-7</v>
      </c>
      <c r="BP50">
        <v>4.4438933209937627E-7</v>
      </c>
      <c r="BQ50">
        <v>2.1375691709837321E-7</v>
      </c>
      <c r="BR50">
        <v>6.4545561608150941E-3</v>
      </c>
      <c r="BS50">
        <v>0.24155567100698</v>
      </c>
      <c r="BT50">
        <v>0.22089651860894199</v>
      </c>
      <c r="BU50">
        <v>0.2079135251555615</v>
      </c>
      <c r="BV50">
        <v>0.29506934034291366</v>
      </c>
      <c r="BW50">
        <v>2.8108602730495327E-2</v>
      </c>
      <c r="BX50">
        <v>7.9315049398952906E-7</v>
      </c>
      <c r="CA50" t="s">
        <v>93</v>
      </c>
      <c r="CB50">
        <v>4.0976287965522181E-7</v>
      </c>
      <c r="CC50">
        <v>3.5761111038597167E-7</v>
      </c>
      <c r="CD50">
        <v>9.2879562214442918E-7</v>
      </c>
      <c r="CE50">
        <v>2.9866915049055472E-2</v>
      </c>
      <c r="CF50">
        <v>0.25311978627498399</v>
      </c>
      <c r="CG50">
        <v>0.18568986709207488</v>
      </c>
      <c r="CH50">
        <v>0.18786093902879061</v>
      </c>
      <c r="CI50">
        <v>0.29469237838479007</v>
      </c>
      <c r="CJ50">
        <v>4.8625758485114579E-2</v>
      </c>
      <c r="CK50">
        <v>1.426595155782942E-4</v>
      </c>
    </row>
    <row r="51" spans="39:89" x14ac:dyDescent="0.35">
      <c r="AN51" t="s">
        <v>189</v>
      </c>
      <c r="AO51">
        <f t="shared" ref="AO51:AX51" si="18">$AO$41*AO50</f>
        <v>6.4127263050140198E-4</v>
      </c>
      <c r="AP51">
        <f t="shared" si="18"/>
        <v>7.8256872195961989E-4</v>
      </c>
      <c r="AQ51">
        <f t="shared" si="18"/>
        <v>4.4562913594895133E-4</v>
      </c>
      <c r="AR51">
        <f t="shared" si="18"/>
        <v>8.3473963315114693E-3</v>
      </c>
      <c r="AS51">
        <f t="shared" si="18"/>
        <v>573.84027731602896</v>
      </c>
      <c r="AT51">
        <f t="shared" si="18"/>
        <v>943.8260212852183</v>
      </c>
      <c r="AU51">
        <f t="shared" si="18"/>
        <v>1082.126158903063</v>
      </c>
      <c r="AV51">
        <f t="shared" si="18"/>
        <v>987.08836215677627</v>
      </c>
      <c r="AW51">
        <f t="shared" si="18"/>
        <v>9.8890325754537738</v>
      </c>
      <c r="AX51">
        <f t="shared" si="18"/>
        <v>5.7605793015378336E-4</v>
      </c>
      <c r="BA51" t="s">
        <v>189</v>
      </c>
      <c r="BB51">
        <f t="shared" ref="BB51:BK51" si="19">$BB$41*BB50</f>
        <v>6.0163216868810933E-4</v>
      </c>
      <c r="BC51">
        <f t="shared" si="19"/>
        <v>5.6060964781452132E-4</v>
      </c>
      <c r="BD51">
        <f t="shared" si="19"/>
        <v>1.1348964555330271E-3</v>
      </c>
      <c r="BE51">
        <f t="shared" si="19"/>
        <v>0.47388043607969171</v>
      </c>
      <c r="BF51">
        <f t="shared" si="19"/>
        <v>1039.3145514499734</v>
      </c>
      <c r="BG51">
        <f t="shared" si="19"/>
        <v>1361.8444782263139</v>
      </c>
      <c r="BH51">
        <f t="shared" si="19"/>
        <v>1297.909246753964</v>
      </c>
      <c r="BI51">
        <f t="shared" si="19"/>
        <v>1266.9564193136409</v>
      </c>
      <c r="BJ51">
        <f t="shared" si="19"/>
        <v>50.26981688801056</v>
      </c>
      <c r="BK51">
        <f t="shared" si="19"/>
        <v>7.3836517580884138E-4</v>
      </c>
      <c r="BN51" t="s">
        <v>189</v>
      </c>
      <c r="BO51">
        <f t="shared" ref="BO51:BX51" si="20">$BO$41*BO50</f>
        <v>2.0446997196713239E-3</v>
      </c>
      <c r="BP51">
        <f t="shared" si="20"/>
        <v>2.7148174352143251E-3</v>
      </c>
      <c r="BQ51">
        <f t="shared" si="20"/>
        <v>1.3058616927072294E-3</v>
      </c>
      <c r="BR51">
        <f t="shared" si="20"/>
        <v>39.431508220886585</v>
      </c>
      <c r="BS51">
        <f t="shared" si="20"/>
        <v>1475.6869705368995</v>
      </c>
      <c r="BT51">
        <f t="shared" si="20"/>
        <v>1349.4782092644728</v>
      </c>
      <c r="BU51">
        <f t="shared" si="20"/>
        <v>1270.1638458390498</v>
      </c>
      <c r="BV51">
        <f t="shared" si="20"/>
        <v>1802.6071552523119</v>
      </c>
      <c r="BW51">
        <f t="shared" si="20"/>
        <v>171.71817426795695</v>
      </c>
      <c r="BX51">
        <f t="shared" si="20"/>
        <v>4.8454331242814511E-3</v>
      </c>
      <c r="CA51" t="s">
        <v>189</v>
      </c>
      <c r="CB51">
        <f t="shared" ref="CB51:CK51" si="21">$CB$41*CB50</f>
        <v>3.0076130968763001E-3</v>
      </c>
      <c r="CC51">
        <f t="shared" si="21"/>
        <v>2.6248250209738545E-3</v>
      </c>
      <c r="CD51">
        <f t="shared" si="21"/>
        <v>6.8172546030362659E-3</v>
      </c>
      <c r="CE51">
        <f t="shared" si="21"/>
        <v>219.21977154302823</v>
      </c>
      <c r="CF51">
        <f t="shared" si="21"/>
        <v>1857.8705443492711</v>
      </c>
      <c r="CG51">
        <f t="shared" si="21"/>
        <v>1362.9425796042256</v>
      </c>
      <c r="CH51">
        <f t="shared" si="21"/>
        <v>1378.8780015648997</v>
      </c>
      <c r="CI51">
        <f t="shared" si="21"/>
        <v>2163.0086588748086</v>
      </c>
      <c r="CJ51">
        <f t="shared" si="21"/>
        <v>356.90755636144598</v>
      </c>
      <c r="CK51">
        <f t="shared" si="21"/>
        <v>1.047104676266247</v>
      </c>
    </row>
    <row r="52" spans="39:89" x14ac:dyDescent="0.35">
      <c r="AN52" t="s">
        <v>172</v>
      </c>
      <c r="AO52">
        <v>1447.5129032258064</v>
      </c>
      <c r="AP52">
        <v>1447.5129032258064</v>
      </c>
      <c r="AQ52">
        <v>1447.5129032258064</v>
      </c>
      <c r="AR52">
        <v>1447.5129032258064</v>
      </c>
      <c r="AS52">
        <v>1447.5129032258064</v>
      </c>
      <c r="AT52">
        <v>1447.5129032258064</v>
      </c>
      <c r="AU52">
        <v>1447.5129032258064</v>
      </c>
      <c r="AV52">
        <v>1447.5129032258064</v>
      </c>
      <c r="AW52">
        <v>1447.5129032258064</v>
      </c>
      <c r="AX52">
        <v>1447.5129032258064</v>
      </c>
      <c r="BA52" t="s">
        <v>172</v>
      </c>
      <c r="BB52">
        <v>1096.2321428571429</v>
      </c>
      <c r="BC52">
        <v>1096.2321428571429</v>
      </c>
      <c r="BD52">
        <v>1096.2321428571429</v>
      </c>
      <c r="BE52">
        <v>1096.2321428571429</v>
      </c>
      <c r="BF52">
        <v>1096.2321428571429</v>
      </c>
      <c r="BG52">
        <v>1096.2321428571429</v>
      </c>
      <c r="BH52">
        <v>1096.2321428571429</v>
      </c>
      <c r="BI52">
        <v>1096.2321428571429</v>
      </c>
      <c r="BJ52">
        <v>1096.2321428571429</v>
      </c>
      <c r="BK52">
        <v>1096.2321428571429</v>
      </c>
      <c r="BN52" t="s">
        <v>172</v>
      </c>
      <c r="BO52">
        <v>1997.6387096774192</v>
      </c>
      <c r="BP52">
        <v>1997.6387096774192</v>
      </c>
      <c r="BQ52">
        <v>1997.6387096774192</v>
      </c>
      <c r="BR52">
        <v>1997.6387096774192</v>
      </c>
      <c r="BS52">
        <v>1997.6387096774192</v>
      </c>
      <c r="BT52">
        <v>1997.6387096774192</v>
      </c>
      <c r="BU52">
        <v>1997.6387096774192</v>
      </c>
      <c r="BV52">
        <v>1997.6387096774192</v>
      </c>
      <c r="BW52">
        <v>1997.6387096774192</v>
      </c>
      <c r="BX52">
        <v>1997.6387096774192</v>
      </c>
      <c r="CA52" t="s">
        <v>172</v>
      </c>
      <c r="CB52">
        <v>1813.42</v>
      </c>
      <c r="CC52">
        <v>1813.42</v>
      </c>
      <c r="CD52">
        <v>1813.42</v>
      </c>
      <c r="CE52">
        <v>1813.42</v>
      </c>
      <c r="CF52">
        <v>1813.42</v>
      </c>
      <c r="CG52">
        <v>1813.42</v>
      </c>
      <c r="CH52">
        <v>1813.42</v>
      </c>
      <c r="CI52">
        <v>1813.42</v>
      </c>
      <c r="CJ52">
        <v>1813.42</v>
      </c>
      <c r="CK52">
        <v>1813.42</v>
      </c>
    </row>
    <row r="53" spans="39:89" x14ac:dyDescent="0.35">
      <c r="AN53" t="s">
        <v>170</v>
      </c>
      <c r="AO53">
        <v>0</v>
      </c>
      <c r="AP53">
        <v>0</v>
      </c>
      <c r="AQ53">
        <v>0</v>
      </c>
      <c r="AR53">
        <v>0</v>
      </c>
      <c r="AS53">
        <v>0</v>
      </c>
      <c r="AT53">
        <v>0</v>
      </c>
      <c r="AU53">
        <v>0</v>
      </c>
      <c r="AV53">
        <v>0</v>
      </c>
      <c r="AW53">
        <v>0</v>
      </c>
      <c r="AX53">
        <v>0</v>
      </c>
      <c r="BA53" t="s">
        <v>170</v>
      </c>
      <c r="BB53">
        <v>0</v>
      </c>
      <c r="BC53">
        <v>0</v>
      </c>
      <c r="BD53">
        <v>0</v>
      </c>
      <c r="BE53">
        <v>0</v>
      </c>
      <c r="BF53">
        <v>0</v>
      </c>
      <c r="BG53">
        <v>0</v>
      </c>
      <c r="BH53">
        <v>0</v>
      </c>
      <c r="BI53">
        <v>0</v>
      </c>
      <c r="BJ53">
        <v>0</v>
      </c>
      <c r="BK53">
        <v>0</v>
      </c>
      <c r="BN53" t="s">
        <v>170</v>
      </c>
      <c r="BO53">
        <v>0</v>
      </c>
      <c r="BP53">
        <v>0</v>
      </c>
      <c r="BQ53">
        <v>0</v>
      </c>
      <c r="BR53">
        <v>0</v>
      </c>
      <c r="BS53">
        <v>0</v>
      </c>
      <c r="BT53">
        <v>0</v>
      </c>
      <c r="BU53">
        <v>0</v>
      </c>
      <c r="BV53">
        <v>0</v>
      </c>
      <c r="BW53">
        <v>0</v>
      </c>
      <c r="BX53">
        <v>0</v>
      </c>
      <c r="CA53" t="s">
        <v>170</v>
      </c>
      <c r="CB53">
        <v>0</v>
      </c>
      <c r="CC53">
        <v>0</v>
      </c>
      <c r="CD53">
        <v>0</v>
      </c>
      <c r="CE53">
        <v>0</v>
      </c>
      <c r="CF53">
        <v>0</v>
      </c>
      <c r="CG53">
        <v>0</v>
      </c>
      <c r="CH53">
        <v>0</v>
      </c>
      <c r="CI53">
        <v>0</v>
      </c>
      <c r="CJ53">
        <v>0</v>
      </c>
      <c r="CK53">
        <v>0</v>
      </c>
    </row>
    <row r="55" spans="39:89" x14ac:dyDescent="0.35">
      <c r="AN55" t="s">
        <v>194</v>
      </c>
      <c r="AO55">
        <f t="shared" ref="AO55:AX55" si="22">SUM(AO49,AO51:AO53)</f>
        <v>2215.7436958434505</v>
      </c>
      <c r="AP55">
        <f t="shared" si="22"/>
        <v>2281.7834068938423</v>
      </c>
      <c r="AQ55">
        <f t="shared" si="22"/>
        <v>2669.2416809145625</v>
      </c>
      <c r="AR55">
        <f t="shared" si="22"/>
        <v>2269.9918971225247</v>
      </c>
      <c r="AS55">
        <f t="shared" si="22"/>
        <v>3450.4790069981373</v>
      </c>
      <c r="AT55">
        <f t="shared" si="22"/>
        <v>3374.5441365497254</v>
      </c>
      <c r="AU55">
        <f t="shared" si="22"/>
        <v>3431.5401152796526</v>
      </c>
      <c r="AV55">
        <f t="shared" si="22"/>
        <v>3683.7819257893843</v>
      </c>
      <c r="AW55">
        <f t="shared" si="22"/>
        <v>2295.9061521930143</v>
      </c>
      <c r="AX55">
        <f t="shared" si="22"/>
        <v>2688.8976598350609</v>
      </c>
      <c r="BA55" t="s">
        <v>194</v>
      </c>
      <c r="BB55">
        <f t="shared" ref="BB55:BK55" si="23">SUM(BB49,BB51:BB53)</f>
        <v>2275.9055539204528</v>
      </c>
      <c r="BC55">
        <f t="shared" si="23"/>
        <v>2319.0251015219828</v>
      </c>
      <c r="BD55">
        <f t="shared" si="23"/>
        <v>2780.9817612778925</v>
      </c>
      <c r="BE55">
        <f t="shared" si="23"/>
        <v>2178.2766277359297</v>
      </c>
      <c r="BF55">
        <f t="shared" si="23"/>
        <v>3874.7672511761721</v>
      </c>
      <c r="BG55">
        <f t="shared" si="23"/>
        <v>3776.6666908492698</v>
      </c>
      <c r="BH55">
        <f t="shared" si="23"/>
        <v>3755.4185048023783</v>
      </c>
      <c r="BI55">
        <f t="shared" si="23"/>
        <v>4291.0262965011661</v>
      </c>
      <c r="BJ55">
        <f t="shared" si="23"/>
        <v>2370.0956260719004</v>
      </c>
      <c r="BK55">
        <f t="shared" si="23"/>
        <v>3039.4294432857178</v>
      </c>
      <c r="BN55" t="s">
        <v>194</v>
      </c>
      <c r="BO55">
        <f t="shared" ref="BO55:BX55" si="24">SUM(BO49,BO51:BO53)</f>
        <v>3547.7139991504673</v>
      </c>
      <c r="BP55">
        <f t="shared" si="24"/>
        <v>3627.9780875244505</v>
      </c>
      <c r="BQ55">
        <f t="shared" si="24"/>
        <v>4480.4430161216005</v>
      </c>
      <c r="BR55">
        <f t="shared" si="24"/>
        <v>3788.6143846010505</v>
      </c>
      <c r="BS55">
        <f t="shared" si="24"/>
        <v>6344.5470953041513</v>
      </c>
      <c r="BT55">
        <f t="shared" si="24"/>
        <v>5382.6082298831025</v>
      </c>
      <c r="BU55">
        <f t="shared" si="24"/>
        <v>5293.2873774572327</v>
      </c>
      <c r="BV55">
        <f t="shared" si="24"/>
        <v>6432.8946362638289</v>
      </c>
      <c r="BW55">
        <f t="shared" si="24"/>
        <v>3612.4864785414693</v>
      </c>
      <c r="BX55">
        <f t="shared" si="24"/>
        <v>4285.6525016042669</v>
      </c>
      <c r="CA55" t="s">
        <v>194</v>
      </c>
      <c r="CB55">
        <f t="shared" ref="CB55:CK55" si="25">SUM(CB49,CB51:CB53)</f>
        <v>2472.9453671084648</v>
      </c>
      <c r="CC55">
        <f t="shared" si="25"/>
        <v>2487.8130108839823</v>
      </c>
      <c r="CD55">
        <f t="shared" si="25"/>
        <v>2878.2234291358118</v>
      </c>
      <c r="CE55">
        <f t="shared" si="25"/>
        <v>2796.0765317798341</v>
      </c>
      <c r="CF55">
        <f t="shared" si="25"/>
        <v>4935.2151691146937</v>
      </c>
      <c r="CG55">
        <f t="shared" si="25"/>
        <v>4055.7505324985332</v>
      </c>
      <c r="CH55">
        <f t="shared" si="25"/>
        <v>4086.7901869279658</v>
      </c>
      <c r="CI55">
        <f t="shared" si="25"/>
        <v>5259.2303384647248</v>
      </c>
      <c r="CJ55">
        <f t="shared" si="25"/>
        <v>2891.9461719516398</v>
      </c>
      <c r="CK55">
        <f t="shared" si="25"/>
        <v>2826.7625954676864</v>
      </c>
    </row>
    <row r="56" spans="39:89" x14ac:dyDescent="0.35">
      <c r="AN56" t="s">
        <v>335</v>
      </c>
      <c r="AO56">
        <f t="shared" ref="AO56:AX56" si="26">AO55-AO47</f>
        <v>-53.493444522722257</v>
      </c>
      <c r="AP56">
        <f t="shared" si="26"/>
        <v>201.6493615581835</v>
      </c>
      <c r="AQ56">
        <f t="shared" si="26"/>
        <v>589.10763557890368</v>
      </c>
      <c r="AR56">
        <f t="shared" si="26"/>
        <v>0.75475675635198058</v>
      </c>
      <c r="AS56">
        <f t="shared" si="26"/>
        <v>424.82948650990647</v>
      </c>
      <c r="AT56">
        <f t="shared" si="26"/>
        <v>348.89461606149462</v>
      </c>
      <c r="AU56">
        <f t="shared" si="26"/>
        <v>594.99368982193664</v>
      </c>
      <c r="AV56">
        <f t="shared" si="26"/>
        <v>847.23550033166839</v>
      </c>
      <c r="AW56">
        <f t="shared" si="26"/>
        <v>-1486.1557484172736</v>
      </c>
      <c r="AX56">
        <f t="shared" si="26"/>
        <v>-1093.164240775227</v>
      </c>
      <c r="BA56" t="s">
        <v>335</v>
      </c>
      <c r="BB56">
        <f t="shared" ref="BB56:BK56" si="27">BB55-BB47</f>
        <v>-312.18373179383252</v>
      </c>
      <c r="BC56">
        <f t="shared" si="27"/>
        <v>-53.390077049446063</v>
      </c>
      <c r="BD56">
        <f t="shared" si="27"/>
        <v>408.56658270646358</v>
      </c>
      <c r="BE56">
        <f t="shared" si="27"/>
        <v>-409.81265797835567</v>
      </c>
      <c r="BF56">
        <f t="shared" si="27"/>
        <v>639.65564403331518</v>
      </c>
      <c r="BG56">
        <f t="shared" si="27"/>
        <v>541.55508370641292</v>
      </c>
      <c r="BH56">
        <f t="shared" si="27"/>
        <v>735.98100480237872</v>
      </c>
      <c r="BI56">
        <f t="shared" si="27"/>
        <v>1271.5887965011666</v>
      </c>
      <c r="BJ56">
        <f t="shared" si="27"/>
        <v>-1943.3865167852427</v>
      </c>
      <c r="BK56">
        <f t="shared" si="27"/>
        <v>-1274.0526995714254</v>
      </c>
      <c r="BN56" t="s">
        <v>335</v>
      </c>
      <c r="BO56">
        <f t="shared" ref="BO56:BX56" si="28">BO55-BO47</f>
        <v>980.23476963085795</v>
      </c>
      <c r="BP56">
        <f t="shared" si="28"/>
        <v>1274.4554604648079</v>
      </c>
      <c r="BQ56">
        <f t="shared" si="28"/>
        <v>2126.9203890619578</v>
      </c>
      <c r="BR56">
        <f t="shared" si="28"/>
        <v>1221.1351550814411</v>
      </c>
      <c r="BS56">
        <f t="shared" si="28"/>
        <v>3135.1980584046391</v>
      </c>
      <c r="BT56">
        <f t="shared" si="28"/>
        <v>2387.2157954435579</v>
      </c>
      <c r="BU56">
        <f t="shared" si="28"/>
        <v>2511.8515454776552</v>
      </c>
      <c r="BV56">
        <f t="shared" si="28"/>
        <v>3651.4588042842515</v>
      </c>
      <c r="BW56">
        <f t="shared" si="28"/>
        <v>-666.64557065787994</v>
      </c>
      <c r="BX56">
        <f t="shared" si="28"/>
        <v>434.43365732485245</v>
      </c>
      <c r="CA56" t="s">
        <v>335</v>
      </c>
      <c r="CB56">
        <f>CB55-CB47</f>
        <v>-53.720315548361668</v>
      </c>
      <c r="CC56">
        <f t="shared" ref="CC56:CK56" si="29">CC55-CC47</f>
        <v>171.70280178189159</v>
      </c>
      <c r="CD56">
        <f t="shared" si="29"/>
        <v>562.11322003372106</v>
      </c>
      <c r="CE56">
        <f t="shared" si="29"/>
        <v>269.41084912300767</v>
      </c>
      <c r="CF56">
        <f t="shared" si="29"/>
        <v>1882.1608025710284</v>
      </c>
      <c r="CG56">
        <f t="shared" si="29"/>
        <v>1107.9739027322357</v>
      </c>
      <c r="CH56">
        <f t="shared" si="29"/>
        <v>1349.5690307164036</v>
      </c>
      <c r="CI56">
        <f t="shared" si="29"/>
        <v>2522.0091822531626</v>
      </c>
      <c r="CJ56">
        <f t="shared" si="29"/>
        <v>-898.05235203360007</v>
      </c>
      <c r="CK56">
        <f t="shared" si="29"/>
        <v>-752.68045496281775</v>
      </c>
    </row>
    <row r="58" spans="39:89" x14ac:dyDescent="0.35">
      <c r="AN58" t="s">
        <v>338</v>
      </c>
      <c r="AO58">
        <f>SUMIF(AO56:AX56,"&lt;0")</f>
        <v>-2632.8134337152228</v>
      </c>
      <c r="BA58" t="s">
        <v>338</v>
      </c>
      <c r="BB58">
        <f>SUMIF(BB56:BK56,"&lt;0")</f>
        <v>-3992.8256831783024</v>
      </c>
      <c r="BN58" t="s">
        <v>338</v>
      </c>
      <c r="BO58">
        <f>SUMIF(BO56:BX56,"&lt;0")</f>
        <v>-666.64557065787994</v>
      </c>
      <c r="CA58" t="s">
        <v>338</v>
      </c>
      <c r="CB58">
        <f>SUMIF(CB56:CK56,"&lt;0")</f>
        <v>-1704.4531225447795</v>
      </c>
    </row>
    <row r="60" spans="39:89" x14ac:dyDescent="0.35">
      <c r="AM60" t="s">
        <v>173</v>
      </c>
      <c r="AZ60" t="s">
        <v>179</v>
      </c>
      <c r="BM60" t="s">
        <v>180</v>
      </c>
      <c r="BZ60" s="29" t="s">
        <v>183</v>
      </c>
    </row>
    <row r="66" spans="40:89" x14ac:dyDescent="0.35">
      <c r="AN66" t="s">
        <v>181</v>
      </c>
      <c r="AO66">
        <v>17330.612903225807</v>
      </c>
      <c r="BA66" t="s">
        <v>181</v>
      </c>
      <c r="BB66">
        <v>41859.5</v>
      </c>
      <c r="BN66" t="s">
        <v>181</v>
      </c>
      <c r="BO66">
        <v>30265.032258064515</v>
      </c>
      <c r="CA66" t="s">
        <v>181</v>
      </c>
      <c r="CB66">
        <v>31578.225806451614</v>
      </c>
    </row>
    <row r="67" spans="40:89" x14ac:dyDescent="0.35">
      <c r="AN67" t="s">
        <v>201</v>
      </c>
      <c r="AO67">
        <f>1162.67741935484+AI12/31</f>
        <v>8138.7419354838721</v>
      </c>
      <c r="BA67" t="s">
        <v>201</v>
      </c>
      <c r="BB67">
        <f>1629.83333333333+AI13/30</f>
        <v>11408.83333333333</v>
      </c>
      <c r="BN67" t="s">
        <v>201</v>
      </c>
      <c r="BO67">
        <f>1290.67741935484+AI14/31</f>
        <v>9034.7419354838712</v>
      </c>
      <c r="CA67" t="s">
        <v>201</v>
      </c>
      <c r="CB67">
        <f>1144.38709677419+AI15/31</f>
        <v>8010.7096774193506</v>
      </c>
    </row>
    <row r="68" spans="40:89" x14ac:dyDescent="0.35">
      <c r="AN68" t="s">
        <v>93</v>
      </c>
      <c r="AO68">
        <f>BD11+9.32258064516129</f>
        <v>7817.264516129032</v>
      </c>
      <c r="BA68" t="s">
        <v>93</v>
      </c>
      <c r="BB68">
        <f>7.76666666666667+BD12</f>
        <v>7928.92</v>
      </c>
      <c r="BN68" t="s">
        <v>93</v>
      </c>
      <c r="BO68">
        <f>10.5161290322581+BD13</f>
        <v>8550.8322580645145</v>
      </c>
      <c r="CA68" t="s">
        <v>93</v>
      </c>
      <c r="CB68">
        <f>9.64516129032258+BD14</f>
        <v>8508.3096774193527</v>
      </c>
    </row>
    <row r="69" spans="40:89" x14ac:dyDescent="0.35">
      <c r="AN69" t="s">
        <v>170</v>
      </c>
      <c r="AO69">
        <v>0</v>
      </c>
      <c r="BA69" t="s">
        <v>170</v>
      </c>
      <c r="BB69">
        <v>0</v>
      </c>
      <c r="BN69" t="s">
        <v>170</v>
      </c>
      <c r="BO69">
        <v>0</v>
      </c>
      <c r="CA69" t="s">
        <v>170</v>
      </c>
      <c r="CB69">
        <v>0</v>
      </c>
    </row>
    <row r="70" spans="40:89" x14ac:dyDescent="0.35">
      <c r="AN70" t="s">
        <v>172</v>
      </c>
      <c r="AO70">
        <v>15702.387096774193</v>
      </c>
      <c r="BA70" t="s">
        <v>172</v>
      </c>
      <c r="BB70">
        <v>13182.7</v>
      </c>
      <c r="BN70" t="s">
        <v>172</v>
      </c>
      <c r="BO70">
        <v>6188.7096774193551</v>
      </c>
      <c r="CA70" t="s">
        <v>172</v>
      </c>
      <c r="CB70">
        <v>6358.5483870967746</v>
      </c>
    </row>
    <row r="72" spans="40:89" x14ac:dyDescent="0.35">
      <c r="AO72" t="s">
        <v>154</v>
      </c>
      <c r="AP72" t="s">
        <v>155</v>
      </c>
      <c r="AQ72" t="s">
        <v>156</v>
      </c>
      <c r="AR72" t="s">
        <v>157</v>
      </c>
      <c r="AS72" t="s">
        <v>158</v>
      </c>
      <c r="AT72" t="s">
        <v>159</v>
      </c>
      <c r="AU72" t="s">
        <v>160</v>
      </c>
      <c r="AV72" t="s">
        <v>161</v>
      </c>
      <c r="AW72" t="s">
        <v>162</v>
      </c>
      <c r="AX72" t="s">
        <v>163</v>
      </c>
      <c r="BB72" t="s">
        <v>154</v>
      </c>
      <c r="BC72" t="s">
        <v>155</v>
      </c>
      <c r="BD72" t="s">
        <v>156</v>
      </c>
      <c r="BE72" t="s">
        <v>157</v>
      </c>
      <c r="BF72" t="s">
        <v>158</v>
      </c>
      <c r="BG72" t="s">
        <v>159</v>
      </c>
      <c r="BH72" t="s">
        <v>160</v>
      </c>
      <c r="BI72" t="s">
        <v>161</v>
      </c>
      <c r="BJ72" t="s">
        <v>162</v>
      </c>
      <c r="BK72" t="s">
        <v>163</v>
      </c>
      <c r="BO72" t="s">
        <v>154</v>
      </c>
      <c r="BP72" t="s">
        <v>155</v>
      </c>
      <c r="BQ72" t="s">
        <v>156</v>
      </c>
      <c r="BR72" t="s">
        <v>157</v>
      </c>
      <c r="BS72" t="s">
        <v>158</v>
      </c>
      <c r="BT72" t="s">
        <v>159</v>
      </c>
      <c r="BU72" t="s">
        <v>160</v>
      </c>
      <c r="BV72" t="s">
        <v>161</v>
      </c>
      <c r="BW72" t="s">
        <v>162</v>
      </c>
      <c r="BX72" t="s">
        <v>163</v>
      </c>
      <c r="CA72" s="33"/>
      <c r="CB72" t="s">
        <v>154</v>
      </c>
      <c r="CC72" t="s">
        <v>155</v>
      </c>
      <c r="CD72" t="s">
        <v>156</v>
      </c>
      <c r="CE72" t="s">
        <v>157</v>
      </c>
      <c r="CF72" t="s">
        <v>158</v>
      </c>
      <c r="CG72" t="s">
        <v>159</v>
      </c>
      <c r="CH72" t="s">
        <v>160</v>
      </c>
      <c r="CI72" t="s">
        <v>161</v>
      </c>
      <c r="CJ72" t="s">
        <v>162</v>
      </c>
      <c r="CK72" t="s">
        <v>163</v>
      </c>
    </row>
    <row r="73" spans="40:89" x14ac:dyDescent="0.35">
      <c r="AN73" t="s">
        <v>181</v>
      </c>
      <c r="AO73">
        <v>9.056603773584905E-2</v>
      </c>
      <c r="AP73">
        <v>8.3018867924528311E-2</v>
      </c>
      <c r="AQ73">
        <v>8.3018867924528311E-2</v>
      </c>
      <c r="AR73">
        <v>9.056603773584905E-2</v>
      </c>
      <c r="AS73">
        <v>0.10943396226415095</v>
      </c>
      <c r="AT73">
        <v>0.10566037735849056</v>
      </c>
      <c r="AU73">
        <v>9.8113207547169817E-2</v>
      </c>
      <c r="AV73">
        <v>9.8113207547169817E-2</v>
      </c>
      <c r="AW73">
        <v>0.12830188679245283</v>
      </c>
      <c r="AX73">
        <v>0.11320754716981132</v>
      </c>
      <c r="BA73" t="s">
        <v>181</v>
      </c>
      <c r="BB73">
        <v>9.7014925373134331E-2</v>
      </c>
      <c r="BC73">
        <v>8.2089552238805971E-2</v>
      </c>
      <c r="BD73">
        <v>8.2089552238805971E-2</v>
      </c>
      <c r="BE73">
        <v>8.9552238805970144E-2</v>
      </c>
      <c r="BF73">
        <v>0.11194029850746269</v>
      </c>
      <c r="BG73">
        <v>0.1044776119402985</v>
      </c>
      <c r="BH73">
        <v>9.7014925373134331E-2</v>
      </c>
      <c r="BI73">
        <v>9.7014925373134331E-2</v>
      </c>
      <c r="BJ73">
        <v>0.12686567164179105</v>
      </c>
      <c r="BK73">
        <v>0.11194029850746269</v>
      </c>
      <c r="BN73" t="s">
        <v>181</v>
      </c>
      <c r="BO73">
        <v>9.602649006622517E-2</v>
      </c>
      <c r="BP73">
        <v>8.6092715231788089E-2</v>
      </c>
      <c r="BQ73">
        <v>8.6092715231788089E-2</v>
      </c>
      <c r="BR73">
        <v>7.9470198675496692E-2</v>
      </c>
      <c r="BS73">
        <v>0.10927152317880795</v>
      </c>
      <c r="BT73">
        <v>0.11258278145695366</v>
      </c>
      <c r="BU73">
        <v>0.11258278145695366</v>
      </c>
      <c r="BV73">
        <v>9.602649006622517E-2</v>
      </c>
      <c r="BW73">
        <v>0.11589403973509936</v>
      </c>
      <c r="BX73">
        <v>0.10596026490066228</v>
      </c>
      <c r="CA73" s="33" t="s">
        <v>181</v>
      </c>
      <c r="CB73">
        <v>9.4155844155844146E-2</v>
      </c>
      <c r="CC73">
        <v>8.4415584415584416E-2</v>
      </c>
      <c r="CD73">
        <v>8.4415584415584416E-2</v>
      </c>
      <c r="CE73">
        <v>7.792207792207792E-2</v>
      </c>
      <c r="CF73">
        <v>0.11038961038961038</v>
      </c>
      <c r="CG73">
        <v>0.11038961038961038</v>
      </c>
      <c r="CH73">
        <v>0.11038961038961038</v>
      </c>
      <c r="CI73">
        <v>9.4155844155844146E-2</v>
      </c>
      <c r="CJ73">
        <v>0.11688311688311688</v>
      </c>
      <c r="CK73">
        <v>0.11688311688311688</v>
      </c>
    </row>
    <row r="74" spans="40:89" x14ac:dyDescent="0.35">
      <c r="AN74" t="s">
        <v>181</v>
      </c>
      <c r="AO74">
        <v>1569.5649421789408</v>
      </c>
      <c r="AP74">
        <v>1438.7678636640294</v>
      </c>
      <c r="AQ74">
        <v>1438.7678636640294</v>
      </c>
      <c r="AR74">
        <v>1569.5649421789408</v>
      </c>
      <c r="AS74">
        <v>1896.5576384662204</v>
      </c>
      <c r="AT74">
        <v>1831.1590992087642</v>
      </c>
      <c r="AU74">
        <v>1700.3620206938529</v>
      </c>
      <c r="AV74">
        <v>1700.3620206938529</v>
      </c>
      <c r="AW74">
        <v>2223.5503347534996</v>
      </c>
      <c r="AX74">
        <v>1961.9561777236763</v>
      </c>
      <c r="BA74" t="s">
        <v>181</v>
      </c>
      <c r="BB74">
        <v>4060.9962686567164</v>
      </c>
      <c r="BC74">
        <v>3436.2276119402986</v>
      </c>
      <c r="BD74">
        <v>3436.2276119402986</v>
      </c>
      <c r="BE74">
        <v>3748.6119402985073</v>
      </c>
      <c r="BF74">
        <v>4685.7649253731342</v>
      </c>
      <c r="BG74">
        <v>4373.3805970149251</v>
      </c>
      <c r="BH74">
        <v>4060.9962686567164</v>
      </c>
      <c r="BI74">
        <v>4060.9962686567164</v>
      </c>
      <c r="BJ74">
        <v>5310.5335820895525</v>
      </c>
      <c r="BK74">
        <v>4685.7649253731342</v>
      </c>
      <c r="BN74" t="s">
        <v>181</v>
      </c>
      <c r="BO74">
        <v>2906.2448194830167</v>
      </c>
      <c r="BP74">
        <v>2605.5988036744288</v>
      </c>
      <c r="BQ74">
        <v>2605.5988036744288</v>
      </c>
      <c r="BR74">
        <v>2405.1681264687031</v>
      </c>
      <c r="BS74">
        <v>3307.1061738944668</v>
      </c>
      <c r="BT74">
        <v>3407.3215124973303</v>
      </c>
      <c r="BU74">
        <v>3407.3215124973303</v>
      </c>
      <c r="BV74">
        <v>2906.2448194830167</v>
      </c>
      <c r="BW74">
        <v>3507.536851100193</v>
      </c>
      <c r="BX74">
        <v>3206.8908352916051</v>
      </c>
      <c r="CA74" s="33" t="s">
        <v>181</v>
      </c>
      <c r="CB74">
        <v>2973.2745077503141</v>
      </c>
      <c r="CC74">
        <v>2665.6943862589023</v>
      </c>
      <c r="CD74">
        <v>2665.6943862589023</v>
      </c>
      <c r="CE74">
        <v>2460.6409719312946</v>
      </c>
      <c r="CF74">
        <v>3485.908043569334</v>
      </c>
      <c r="CG74">
        <v>3485.908043569334</v>
      </c>
      <c r="CH74">
        <v>3485.908043569334</v>
      </c>
      <c r="CI74">
        <v>2973.2745077503141</v>
      </c>
      <c r="CJ74">
        <v>3690.9614578969417</v>
      </c>
      <c r="CK74">
        <v>3690.9614578969417</v>
      </c>
    </row>
    <row r="75" spans="40:89" x14ac:dyDescent="0.35">
      <c r="AN75" t="s">
        <v>184</v>
      </c>
      <c r="AO75">
        <v>7.8348880302090529E-2</v>
      </c>
      <c r="AP75">
        <v>7.952465078133035E-2</v>
      </c>
      <c r="AQ75">
        <v>0.11247337921517588</v>
      </c>
      <c r="AR75">
        <v>7.5086306733879934E-2</v>
      </c>
      <c r="AS75">
        <v>0.1263844972266101</v>
      </c>
      <c r="AT75">
        <v>9.5006247887667011E-2</v>
      </c>
      <c r="AU75">
        <v>9.9153705184088545E-2</v>
      </c>
      <c r="AV75">
        <v>0.13689007388703719</v>
      </c>
      <c r="AW75">
        <v>8.137479892600763E-2</v>
      </c>
      <c r="AX75">
        <v>0.11575745985611272</v>
      </c>
      <c r="BA75" t="s">
        <v>184</v>
      </c>
      <c r="BB75">
        <v>7.2505222134496672E-2</v>
      </c>
      <c r="BC75">
        <v>7.2259914898410327E-2</v>
      </c>
      <c r="BD75">
        <v>0.10940964689885156</v>
      </c>
      <c r="BE75">
        <v>7.8844945337745109E-2</v>
      </c>
      <c r="BF75">
        <v>0.13056809769103395</v>
      </c>
      <c r="BG75">
        <v>9.3815516421785122E-2</v>
      </c>
      <c r="BH75">
        <v>9.5591701729603129E-2</v>
      </c>
      <c r="BI75">
        <v>0.14349911967260184</v>
      </c>
      <c r="BJ75">
        <v>8.9364060169692366E-2</v>
      </c>
      <c r="BK75">
        <v>0.11414177504577994</v>
      </c>
      <c r="BN75" t="s">
        <v>184</v>
      </c>
      <c r="BO75">
        <v>6.7654072802736859E-2</v>
      </c>
      <c r="BP75">
        <v>6.2243176365301349E-2</v>
      </c>
      <c r="BQ75">
        <v>0.10018481223013695</v>
      </c>
      <c r="BR75">
        <v>6.7126910507543436E-2</v>
      </c>
      <c r="BS75">
        <v>0.14437512331874369</v>
      </c>
      <c r="BT75">
        <v>0.10941748260023273</v>
      </c>
      <c r="BU75">
        <v>0.10793388417386282</v>
      </c>
      <c r="BV75">
        <v>0.15742177931651061</v>
      </c>
      <c r="BW75">
        <v>8.3976404160596277E-2</v>
      </c>
      <c r="BX75">
        <v>9.9666354524335407E-2</v>
      </c>
      <c r="CA75" s="33" t="s">
        <v>184</v>
      </c>
      <c r="CB75">
        <v>7.4013542477405908E-2</v>
      </c>
      <c r="CC75">
        <v>7.2224168909106157E-2</v>
      </c>
      <c r="CD75">
        <v>0.10612826928470931</v>
      </c>
      <c r="CE75">
        <v>7.3935142777075524E-2</v>
      </c>
      <c r="CF75">
        <v>0.14094826403058736</v>
      </c>
      <c r="CG75">
        <v>0.1039343095503206</v>
      </c>
      <c r="CH75">
        <v>0.10600936993496526</v>
      </c>
      <c r="CI75">
        <v>0.14680566441114959</v>
      </c>
      <c r="CJ75">
        <v>7.4156933175797524E-2</v>
      </c>
      <c r="CK75">
        <v>0.10184433544888277</v>
      </c>
    </row>
    <row r="76" spans="40:89" x14ac:dyDescent="0.35">
      <c r="AN76" t="s">
        <v>185</v>
      </c>
      <c r="AO76">
        <f t="shared" ref="AO76:AX76" si="30">$AO$67*AO75</f>
        <v>637.66131771283051</v>
      </c>
      <c r="AP76">
        <f t="shared" si="30"/>
        <v>647.23061021872354</v>
      </c>
      <c r="AQ76">
        <f t="shared" si="30"/>
        <v>915.39180804413206</v>
      </c>
      <c r="AR76">
        <f t="shared" si="30"/>
        <v>611.10807339563371</v>
      </c>
      <c r="AS76">
        <f t="shared" si="30"/>
        <v>1028.6108075732568</v>
      </c>
      <c r="AT76">
        <f t="shared" si="30"/>
        <v>773.23133381633158</v>
      </c>
      <c r="AU76">
        <f t="shared" si="30"/>
        <v>806.98641844034603</v>
      </c>
      <c r="AV76">
        <f t="shared" si="30"/>
        <v>1114.1129848959154</v>
      </c>
      <c r="AW76">
        <f t="shared" si="30"/>
        <v>662.2884885106663</v>
      </c>
      <c r="AX76">
        <f t="shared" si="30"/>
        <v>942.12009287603541</v>
      </c>
      <c r="BA76" t="s">
        <v>185</v>
      </c>
      <c r="BB76">
        <f t="shared" ref="BB76:BK76" si="31">$BB$67*BB75</f>
        <v>827.19999512878326</v>
      </c>
      <c r="BC76">
        <f t="shared" si="31"/>
        <v>824.40132575681343</v>
      </c>
      <c r="BD76">
        <f t="shared" si="31"/>
        <v>1248.2364265278472</v>
      </c>
      <c r="BE76">
        <f t="shared" si="31"/>
        <v>899.52884053411071</v>
      </c>
      <c r="BF76">
        <f t="shared" si="31"/>
        <v>1489.6296652073906</v>
      </c>
      <c r="BG76">
        <f t="shared" si="31"/>
        <v>1070.3255909367426</v>
      </c>
      <c r="BH76">
        <f t="shared" si="31"/>
        <v>1090.5897930827534</v>
      </c>
      <c r="BI76">
        <f t="shared" si="31"/>
        <v>1637.1575398247685</v>
      </c>
      <c r="BJ76">
        <f t="shared" si="31"/>
        <v>1019.5396684659917</v>
      </c>
      <c r="BK76">
        <f t="shared" si="31"/>
        <v>1302.2244878681286</v>
      </c>
      <c r="BN76" t="s">
        <v>185</v>
      </c>
      <c r="BO76">
        <f t="shared" ref="BO76:BX76" si="32">$BO$67*BO75</f>
        <v>611.23708865716549</v>
      </c>
      <c r="BP76">
        <f t="shared" si="32"/>
        <v>562.35103570530669</v>
      </c>
      <c r="BQ76">
        <f t="shared" si="32"/>
        <v>905.14392435419575</v>
      </c>
      <c r="BR76">
        <f t="shared" si="32"/>
        <v>606.47431336197565</v>
      </c>
      <c r="BS76">
        <f t="shared" si="32"/>
        <v>1304.3919810885091</v>
      </c>
      <c r="BT76">
        <f t="shared" si="32"/>
        <v>988.55871852339953</v>
      </c>
      <c r="BU76">
        <f t="shared" si="32"/>
        <v>975.15478960525741</v>
      </c>
      <c r="BV76">
        <f t="shared" si="32"/>
        <v>1422.2651511493659</v>
      </c>
      <c r="BW76">
        <f t="shared" si="32"/>
        <v>758.70514026088142</v>
      </c>
      <c r="BX76">
        <f t="shared" si="32"/>
        <v>900.45979277781578</v>
      </c>
      <c r="CA76" s="33" t="s">
        <v>185</v>
      </c>
      <c r="CB76">
        <f t="shared" ref="CB76:CK76" si="33">$CB$67*CB75</f>
        <v>592.90100098384369</v>
      </c>
      <c r="CC76">
        <f t="shared" si="33"/>
        <v>578.56684882374645</v>
      </c>
      <c r="CD76">
        <f t="shared" si="33"/>
        <v>850.16275380678769</v>
      </c>
      <c r="CE76">
        <f t="shared" si="33"/>
        <v>592.27296374570028</v>
      </c>
      <c r="CF76">
        <f t="shared" si="33"/>
        <v>1129.0956226852838</v>
      </c>
      <c r="CG76">
        <f t="shared" si="33"/>
        <v>832.58757933065169</v>
      </c>
      <c r="CH76">
        <f t="shared" si="33"/>
        <v>849.21028563515415</v>
      </c>
      <c r="CI76">
        <f t="shared" si="33"/>
        <v>1176.0175565983736</v>
      </c>
      <c r="CJ76">
        <f t="shared" si="33"/>
        <v>594.04966223910128</v>
      </c>
      <c r="CK76">
        <f t="shared" si="33"/>
        <v>815.84540357070784</v>
      </c>
    </row>
    <row r="77" spans="40:89" x14ac:dyDescent="0.35">
      <c r="AN77" t="s">
        <v>93</v>
      </c>
      <c r="AO77">
        <v>1.6667933281438623E-7</v>
      </c>
      <c r="AP77">
        <v>6.6671733125754496E-8</v>
      </c>
      <c r="AQ77">
        <v>1.2159584866475555E-4</v>
      </c>
      <c r="AR77">
        <v>5.4313074580330301E-2</v>
      </c>
      <c r="AS77">
        <v>0.2277950010699723</v>
      </c>
      <c r="AT77">
        <v>0.16905116521950664</v>
      </c>
      <c r="AU77">
        <v>0.19209461638095093</v>
      </c>
      <c r="AV77">
        <v>0.2878488469167963</v>
      </c>
      <c r="AW77">
        <v>6.7136216184470007E-2</v>
      </c>
      <c r="AX77">
        <v>1.6392504482427232E-3</v>
      </c>
      <c r="BA77" t="s">
        <v>93</v>
      </c>
      <c r="BB77">
        <v>3.4447805093223261E-8</v>
      </c>
      <c r="BC77">
        <v>3.4447805093223261E-8</v>
      </c>
      <c r="BD77">
        <v>5.0197132026117341E-4</v>
      </c>
      <c r="BE77">
        <v>7.5953028988847732E-2</v>
      </c>
      <c r="BF77">
        <v>0.28128984720066313</v>
      </c>
      <c r="BG77">
        <v>0.15151241588116815</v>
      </c>
      <c r="BH77">
        <v>0.16189099254230549</v>
      </c>
      <c r="BI77">
        <v>0.25750897462591038</v>
      </c>
      <c r="BJ77">
        <v>6.7398145109063889E-2</v>
      </c>
      <c r="BK77">
        <v>3.9445554361699281E-3</v>
      </c>
      <c r="BN77" t="s">
        <v>93</v>
      </c>
      <c r="BO77">
        <v>0</v>
      </c>
      <c r="BP77">
        <v>0</v>
      </c>
      <c r="BQ77">
        <v>1.9870955903780234E-4</v>
      </c>
      <c r="BR77">
        <v>5.1181629257514932E-2</v>
      </c>
      <c r="BS77">
        <v>0.26404950089282531</v>
      </c>
      <c r="BT77">
        <v>0.1559399658655734</v>
      </c>
      <c r="BU77">
        <v>0.16763518613187231</v>
      </c>
      <c r="BV77">
        <v>0.2839396065099874</v>
      </c>
      <c r="BW77">
        <v>7.3431975124716137E-2</v>
      </c>
      <c r="BX77">
        <v>3.6234266584728686E-3</v>
      </c>
      <c r="CA77" s="33" t="s">
        <v>93</v>
      </c>
      <c r="CB77">
        <v>0</v>
      </c>
      <c r="CC77">
        <v>0</v>
      </c>
      <c r="CD77">
        <v>1.8279731308564181E-6</v>
      </c>
      <c r="CE77">
        <v>4.3942365928782298E-2</v>
      </c>
      <c r="CF77">
        <v>0.24380711427308555</v>
      </c>
      <c r="CG77">
        <v>0.17965150257764928</v>
      </c>
      <c r="CH77">
        <v>0.19527382545722585</v>
      </c>
      <c r="CI77">
        <v>0.2758121538730044</v>
      </c>
      <c r="CJ77">
        <v>6.0745201212998499E-2</v>
      </c>
      <c r="CK77">
        <v>7.6600870412329774E-4</v>
      </c>
    </row>
    <row r="78" spans="40:89" x14ac:dyDescent="0.35">
      <c r="AN78" t="s">
        <v>189</v>
      </c>
      <c r="AO78">
        <f t="shared" ref="AO78:AX78" si="34">$AO$68*AO77</f>
        <v>1.3029764339819627E-3</v>
      </c>
      <c r="AP78">
        <f t="shared" si="34"/>
        <v>5.2119057359278518E-4</v>
      </c>
      <c r="AQ78">
        <f t="shared" si="34"/>
        <v>0.95054691307558936</v>
      </c>
      <c r="AR78">
        <f t="shared" si="34"/>
        <v>424.57967067868577</v>
      </c>
      <c r="AS78">
        <f t="shared" si="34"/>
        <v>1780.7337788158693</v>
      </c>
      <c r="AT78">
        <f t="shared" si="34"/>
        <v>1321.5176752807156</v>
      </c>
      <c r="AU78">
        <f t="shared" si="34"/>
        <v>1501.6544283742264</v>
      </c>
      <c r="AV78">
        <f t="shared" si="34"/>
        <v>2250.1905770113294</v>
      </c>
      <c r="AW78">
        <f t="shared" si="34"/>
        <v>524.821560526025</v>
      </c>
      <c r="AX78">
        <f t="shared" si="34"/>
        <v>12.81445436209645</v>
      </c>
      <c r="BA78" t="s">
        <v>189</v>
      </c>
      <c r="BB78">
        <f t="shared" ref="BB78:BK78" si="35">$BB$68*BB77</f>
        <v>2.7313389075975979E-4</v>
      </c>
      <c r="BC78">
        <f t="shared" si="35"/>
        <v>2.7313389075975979E-4</v>
      </c>
      <c r="BD78">
        <f t="shared" si="35"/>
        <v>3.9800904406452231</v>
      </c>
      <c r="BE78">
        <f t="shared" si="35"/>
        <v>602.22549061025461</v>
      </c>
      <c r="BF78">
        <f t="shared" si="35"/>
        <v>2230.3246952662821</v>
      </c>
      <c r="BG78">
        <f t="shared" si="35"/>
        <v>1201.3298245285118</v>
      </c>
      <c r="BH78">
        <f t="shared" si="35"/>
        <v>1283.6207285885368</v>
      </c>
      <c r="BI78">
        <f t="shared" si="35"/>
        <v>2041.7680590908733</v>
      </c>
      <c r="BJ78">
        <f t="shared" si="35"/>
        <v>534.39450071815884</v>
      </c>
      <c r="BK78">
        <f t="shared" si="35"/>
        <v>31.276064488956468</v>
      </c>
      <c r="BN78" t="s">
        <v>189</v>
      </c>
      <c r="BO78">
        <f t="shared" ref="BO78:BX78" si="36">$BO$68*BO77</f>
        <v>0</v>
      </c>
      <c r="BP78">
        <f t="shared" si="36"/>
        <v>0</v>
      </c>
      <c r="BQ78">
        <f t="shared" si="36"/>
        <v>1.6991321074062153</v>
      </c>
      <c r="BR78">
        <f t="shared" si="36"/>
        <v>437.64552647545725</v>
      </c>
      <c r="BS78">
        <f t="shared" si="36"/>
        <v>2257.8429899602056</v>
      </c>
      <c r="BT78">
        <f t="shared" si="36"/>
        <v>1333.4164904448244</v>
      </c>
      <c r="BU78">
        <f t="shared" si="36"/>
        <v>1433.4203571630628</v>
      </c>
      <c r="BV78">
        <f t="shared" si="36"/>
        <v>2427.9199466877453</v>
      </c>
      <c r="BW78">
        <f t="shared" si="36"/>
        <v>627.90450166981373</v>
      </c>
      <c r="BX78">
        <f t="shared" si="36"/>
        <v>30.983313556000716</v>
      </c>
      <c r="CA78" s="33" t="s">
        <v>189</v>
      </c>
      <c r="CB78">
        <f t="shared" ref="CB78:CK78" si="37">$CB$68*CB77</f>
        <v>0</v>
      </c>
      <c r="CC78">
        <f t="shared" si="37"/>
        <v>0</v>
      </c>
      <c r="CD78">
        <f t="shared" si="37"/>
        <v>1.5552961479328215E-2</v>
      </c>
      <c r="CE78">
        <f t="shared" si="37"/>
        <v>373.87525728056085</v>
      </c>
      <c r="CF78">
        <f t="shared" si="37"/>
        <v>2074.3864297933796</v>
      </c>
      <c r="CG78">
        <f t="shared" si="37"/>
        <v>1528.5306179443412</v>
      </c>
      <c r="CH78">
        <f t="shared" si="37"/>
        <v>1661.4501788844123</v>
      </c>
      <c r="CI78">
        <f t="shared" si="37"/>
        <v>2346.6952179475588</v>
      </c>
      <c r="CJ78">
        <f t="shared" si="37"/>
        <v>516.83898333734089</v>
      </c>
      <c r="CK78">
        <f t="shared" si="37"/>
        <v>6.5174392702797119</v>
      </c>
    </row>
    <row r="79" spans="40:89" x14ac:dyDescent="0.35">
      <c r="AN79" t="s">
        <v>172</v>
      </c>
      <c r="AO79">
        <v>1570.2387096774194</v>
      </c>
      <c r="AP79">
        <v>1570.2387096774194</v>
      </c>
      <c r="AQ79">
        <v>1570.2387096774194</v>
      </c>
      <c r="AR79">
        <v>1570.2387096774194</v>
      </c>
      <c r="AS79">
        <v>1570.2387096774194</v>
      </c>
      <c r="AT79">
        <v>1570.2387096774194</v>
      </c>
      <c r="AU79">
        <v>1570.2387096774194</v>
      </c>
      <c r="AV79">
        <v>1570.2387096774194</v>
      </c>
      <c r="AW79">
        <v>1570.2387096774194</v>
      </c>
      <c r="AX79">
        <v>1570.2387096774194</v>
      </c>
      <c r="BA79" t="s">
        <v>172</v>
      </c>
      <c r="BB79">
        <v>1318.27</v>
      </c>
      <c r="BC79">
        <v>1318.27</v>
      </c>
      <c r="BD79">
        <v>1318.27</v>
      </c>
      <c r="BE79">
        <v>1318.27</v>
      </c>
      <c r="BF79">
        <v>1318.27</v>
      </c>
      <c r="BG79">
        <v>1318.27</v>
      </c>
      <c r="BH79">
        <v>1318.27</v>
      </c>
      <c r="BI79">
        <v>1318.27</v>
      </c>
      <c r="BJ79">
        <v>1318.27</v>
      </c>
      <c r="BK79">
        <v>1318.27</v>
      </c>
      <c r="BN79" t="s">
        <v>172</v>
      </c>
      <c r="BO79">
        <v>618.87096774193549</v>
      </c>
      <c r="BP79">
        <v>618.87096774193549</v>
      </c>
      <c r="BQ79">
        <v>618.87096774193549</v>
      </c>
      <c r="BR79">
        <v>618.87096774193549</v>
      </c>
      <c r="BS79">
        <v>618.87096774193549</v>
      </c>
      <c r="BT79">
        <v>618.87096774193549</v>
      </c>
      <c r="BU79">
        <v>618.87096774193549</v>
      </c>
      <c r="BV79">
        <v>618.87096774193549</v>
      </c>
      <c r="BW79">
        <v>618.87096774193549</v>
      </c>
      <c r="BX79">
        <v>618.87096774193549</v>
      </c>
      <c r="CA79" s="33" t="s">
        <v>172</v>
      </c>
      <c r="CB79">
        <v>635.85483870967744</v>
      </c>
      <c r="CC79">
        <v>635.85483870967744</v>
      </c>
      <c r="CD79">
        <v>635.85483870967744</v>
      </c>
      <c r="CE79">
        <v>635.85483870967744</v>
      </c>
      <c r="CF79">
        <v>635.85483870967744</v>
      </c>
      <c r="CG79">
        <v>635.85483870967744</v>
      </c>
      <c r="CH79">
        <v>635.85483870967744</v>
      </c>
      <c r="CI79">
        <v>635.85483870967744</v>
      </c>
      <c r="CJ79">
        <v>635.85483870967744</v>
      </c>
      <c r="CK79">
        <v>635.85483870967744</v>
      </c>
    </row>
    <row r="80" spans="40:89" x14ac:dyDescent="0.35">
      <c r="AN80" t="s">
        <v>170</v>
      </c>
      <c r="AO80">
        <v>0</v>
      </c>
      <c r="AP80">
        <v>0</v>
      </c>
      <c r="AQ80">
        <v>0</v>
      </c>
      <c r="AR80">
        <v>0</v>
      </c>
      <c r="AS80">
        <v>0</v>
      </c>
      <c r="AT80">
        <v>0</v>
      </c>
      <c r="AU80">
        <v>0</v>
      </c>
      <c r="AV80">
        <v>0</v>
      </c>
      <c r="AW80">
        <v>0</v>
      </c>
      <c r="AX80">
        <v>0</v>
      </c>
      <c r="BA80" t="s">
        <v>170</v>
      </c>
      <c r="BB80">
        <v>0</v>
      </c>
      <c r="BC80">
        <v>0</v>
      </c>
      <c r="BD80">
        <v>0</v>
      </c>
      <c r="BE80">
        <v>0</v>
      </c>
      <c r="BF80">
        <v>0</v>
      </c>
      <c r="BG80">
        <v>0</v>
      </c>
      <c r="BH80">
        <v>0</v>
      </c>
      <c r="BI80">
        <v>0</v>
      </c>
      <c r="BJ80">
        <v>0</v>
      </c>
      <c r="BK80">
        <v>0</v>
      </c>
      <c r="BN80" t="s">
        <v>170</v>
      </c>
      <c r="BO80">
        <v>0</v>
      </c>
      <c r="BP80">
        <v>0</v>
      </c>
      <c r="BQ80">
        <v>0</v>
      </c>
      <c r="BR80">
        <v>0</v>
      </c>
      <c r="BS80">
        <v>0</v>
      </c>
      <c r="BT80">
        <v>0</v>
      </c>
      <c r="BU80">
        <v>0</v>
      </c>
      <c r="BV80">
        <v>0</v>
      </c>
      <c r="BW80">
        <v>0</v>
      </c>
      <c r="BX80">
        <v>0</v>
      </c>
      <c r="CA80" s="33" t="s">
        <v>170</v>
      </c>
      <c r="CB80">
        <v>0</v>
      </c>
      <c r="CC80">
        <v>0</v>
      </c>
      <c r="CD80">
        <v>0</v>
      </c>
      <c r="CE80">
        <v>0</v>
      </c>
      <c r="CF80">
        <v>0</v>
      </c>
      <c r="CG80">
        <v>0</v>
      </c>
      <c r="CH80">
        <v>0</v>
      </c>
      <c r="CI80">
        <v>0</v>
      </c>
      <c r="CJ80">
        <v>0</v>
      </c>
      <c r="CK80">
        <v>0</v>
      </c>
    </row>
    <row r="81" spans="39:89" x14ac:dyDescent="0.35">
      <c r="CA81" s="33"/>
    </row>
    <row r="82" spans="39:89" x14ac:dyDescent="0.35">
      <c r="AN82" t="s">
        <v>194</v>
      </c>
      <c r="AO82">
        <f t="shared" ref="AO82:AX82" si="38">SUM(AO76,AO78:AO80)</f>
        <v>2207.9013303666839</v>
      </c>
      <c r="AP82">
        <f t="shared" si="38"/>
        <v>2217.4698410867168</v>
      </c>
      <c r="AQ82">
        <f t="shared" si="38"/>
        <v>2486.5810646346272</v>
      </c>
      <c r="AR82">
        <f t="shared" si="38"/>
        <v>2605.9264537517388</v>
      </c>
      <c r="AS82">
        <f t="shared" si="38"/>
        <v>4379.5832960665457</v>
      </c>
      <c r="AT82">
        <f t="shared" si="38"/>
        <v>3664.9877187744669</v>
      </c>
      <c r="AU82">
        <f t="shared" si="38"/>
        <v>3878.8795564919919</v>
      </c>
      <c r="AV82">
        <f t="shared" si="38"/>
        <v>4934.5422715846644</v>
      </c>
      <c r="AW82">
        <f t="shared" si="38"/>
        <v>2757.3487587141108</v>
      </c>
      <c r="AX82">
        <f t="shared" si="38"/>
        <v>2525.1732569155511</v>
      </c>
      <c r="BA82" t="s">
        <v>194</v>
      </c>
      <c r="BB82">
        <f t="shared" ref="BB82:BK82" si="39">SUM(BB76,BB78:BB80)</f>
        <v>2145.4702682626739</v>
      </c>
      <c r="BC82">
        <f t="shared" si="39"/>
        <v>2142.6715988907044</v>
      </c>
      <c r="BD82">
        <f t="shared" si="39"/>
        <v>2570.4865169684927</v>
      </c>
      <c r="BE82">
        <f t="shared" si="39"/>
        <v>2820.0243311443655</v>
      </c>
      <c r="BF82">
        <f t="shared" si="39"/>
        <v>5038.2243604736723</v>
      </c>
      <c r="BG82">
        <f t="shared" si="39"/>
        <v>3589.9254154652544</v>
      </c>
      <c r="BH82">
        <f t="shared" si="39"/>
        <v>3692.4805216712903</v>
      </c>
      <c r="BI82">
        <f t="shared" si="39"/>
        <v>4997.1955989156413</v>
      </c>
      <c r="BJ82">
        <f t="shared" si="39"/>
        <v>2872.2041691841505</v>
      </c>
      <c r="BK82">
        <f t="shared" si="39"/>
        <v>2651.7705523570849</v>
      </c>
      <c r="BN82" t="s">
        <v>194</v>
      </c>
      <c r="BO82">
        <f t="shared" ref="BO82:BX82" si="40">SUM(BO76,BO78:BO80)</f>
        <v>1230.1080563991009</v>
      </c>
      <c r="BP82">
        <f t="shared" si="40"/>
        <v>1181.2220034472421</v>
      </c>
      <c r="BQ82">
        <f t="shared" si="40"/>
        <v>1525.7140242035375</v>
      </c>
      <c r="BR82">
        <f t="shared" si="40"/>
        <v>1662.9908075793683</v>
      </c>
      <c r="BS82">
        <f t="shared" si="40"/>
        <v>4181.1059387906498</v>
      </c>
      <c r="BT82">
        <f t="shared" si="40"/>
        <v>2940.8461767101594</v>
      </c>
      <c r="BU82">
        <f t="shared" si="40"/>
        <v>3027.4461145102559</v>
      </c>
      <c r="BV82">
        <f t="shared" si="40"/>
        <v>4469.0560655790468</v>
      </c>
      <c r="BW82">
        <f t="shared" si="40"/>
        <v>2005.4806096726306</v>
      </c>
      <c r="BX82">
        <f t="shared" si="40"/>
        <v>1550.3140740757519</v>
      </c>
      <c r="CA82" s="33" t="s">
        <v>194</v>
      </c>
      <c r="CB82">
        <f t="shared" ref="CB82:CK82" si="41">SUM(CB76,CB78:CB80)</f>
        <v>1228.755839693521</v>
      </c>
      <c r="CC82">
        <f t="shared" si="41"/>
        <v>1214.4216875334239</v>
      </c>
      <c r="CD82">
        <f t="shared" si="41"/>
        <v>1486.0331454779443</v>
      </c>
      <c r="CE82">
        <f t="shared" si="41"/>
        <v>1602.0030597359387</v>
      </c>
      <c r="CF82">
        <f t="shared" si="41"/>
        <v>3839.3368911883413</v>
      </c>
      <c r="CG82">
        <f t="shared" si="41"/>
        <v>2996.9730359846703</v>
      </c>
      <c r="CH82">
        <f t="shared" si="41"/>
        <v>3146.5153032292442</v>
      </c>
      <c r="CI82">
        <f t="shared" si="41"/>
        <v>4158.56761325561</v>
      </c>
      <c r="CJ82">
        <f t="shared" si="41"/>
        <v>1746.7434842861198</v>
      </c>
      <c r="CK82">
        <f t="shared" si="41"/>
        <v>1458.217681550665</v>
      </c>
    </row>
    <row r="83" spans="39:89" x14ac:dyDescent="0.35">
      <c r="AN83" t="s">
        <v>335</v>
      </c>
      <c r="AO83">
        <f t="shared" ref="AO83:AX83" si="42">AO82-AO74</f>
        <v>638.33638818774307</v>
      </c>
      <c r="AP83">
        <f t="shared" si="42"/>
        <v>778.70197742268738</v>
      </c>
      <c r="AQ83">
        <f t="shared" si="42"/>
        <v>1047.8132009705978</v>
      </c>
      <c r="AR83">
        <f t="shared" si="42"/>
        <v>1036.361511572798</v>
      </c>
      <c r="AS83">
        <f t="shared" si="42"/>
        <v>2483.0256576003253</v>
      </c>
      <c r="AT83">
        <f t="shared" si="42"/>
        <v>1833.8286195657026</v>
      </c>
      <c r="AU83">
        <f t="shared" si="42"/>
        <v>2178.5175357981389</v>
      </c>
      <c r="AV83">
        <f t="shared" si="42"/>
        <v>3234.1802508908113</v>
      </c>
      <c r="AW83">
        <f t="shared" si="42"/>
        <v>533.79842396061122</v>
      </c>
      <c r="AX83">
        <f t="shared" si="42"/>
        <v>563.21707919187475</v>
      </c>
      <c r="BA83" t="s">
        <v>335</v>
      </c>
      <c r="BB83">
        <f t="shared" ref="BB83:BK83" si="43">BB82-BB74</f>
        <v>-1915.5260003940425</v>
      </c>
      <c r="BC83">
        <f t="shared" si="43"/>
        <v>-1293.5560130495942</v>
      </c>
      <c r="BD83">
        <f t="shared" si="43"/>
        <v>-865.74109497180598</v>
      </c>
      <c r="BE83">
        <f t="shared" si="43"/>
        <v>-928.58760915414177</v>
      </c>
      <c r="BF83">
        <f t="shared" si="43"/>
        <v>352.45943510053803</v>
      </c>
      <c r="BG83">
        <f t="shared" si="43"/>
        <v>-783.45518154967067</v>
      </c>
      <c r="BH83">
        <f t="shared" si="43"/>
        <v>-368.51574698542618</v>
      </c>
      <c r="BI83">
        <f t="shared" si="43"/>
        <v>936.19933025892487</v>
      </c>
      <c r="BJ83">
        <f t="shared" si="43"/>
        <v>-2438.329412905402</v>
      </c>
      <c r="BK83">
        <f t="shared" si="43"/>
        <v>-2033.9943730160494</v>
      </c>
      <c r="BN83" t="s">
        <v>335</v>
      </c>
      <c r="BO83">
        <f t="shared" ref="BO83:BX83" si="44">BO82-BO74</f>
        <v>-1676.1367630839159</v>
      </c>
      <c r="BP83">
        <f t="shared" si="44"/>
        <v>-1424.3768002271868</v>
      </c>
      <c r="BQ83">
        <f t="shared" si="44"/>
        <v>-1079.8847794708913</v>
      </c>
      <c r="BR83">
        <f t="shared" si="44"/>
        <v>-742.17731888933486</v>
      </c>
      <c r="BS83">
        <f t="shared" si="44"/>
        <v>873.99976489618302</v>
      </c>
      <c r="BT83">
        <f t="shared" si="44"/>
        <v>-466.47533578717093</v>
      </c>
      <c r="BU83">
        <f t="shared" si="44"/>
        <v>-379.87539798707439</v>
      </c>
      <c r="BV83">
        <f t="shared" si="44"/>
        <v>1562.8112460960301</v>
      </c>
      <c r="BW83">
        <f t="shared" si="44"/>
        <v>-1502.0562414275623</v>
      </c>
      <c r="BX83">
        <f t="shared" si="44"/>
        <v>-1656.5767612158531</v>
      </c>
      <c r="CA83" t="s">
        <v>335</v>
      </c>
      <c r="CB83">
        <f t="shared" ref="CB83:CK83" si="45">CB82-CB74</f>
        <v>-1744.5186680567931</v>
      </c>
      <c r="CC83">
        <f t="shared" si="45"/>
        <v>-1451.2726987254784</v>
      </c>
      <c r="CD83">
        <f t="shared" si="45"/>
        <v>-1179.661240780958</v>
      </c>
      <c r="CE83">
        <f t="shared" si="45"/>
        <v>-858.63791219535597</v>
      </c>
      <c r="CF83">
        <f t="shared" si="45"/>
        <v>353.42884761900723</v>
      </c>
      <c r="CG83">
        <f t="shared" si="45"/>
        <v>-488.93500758466371</v>
      </c>
      <c r="CH83">
        <f t="shared" si="45"/>
        <v>-339.39274034008986</v>
      </c>
      <c r="CI83">
        <f t="shared" si="45"/>
        <v>1185.2931055052959</v>
      </c>
      <c r="CJ83">
        <f t="shared" si="45"/>
        <v>-1944.2179736108219</v>
      </c>
      <c r="CK83">
        <f t="shared" si="45"/>
        <v>-2232.7437763462767</v>
      </c>
    </row>
    <row r="85" spans="39:89" x14ac:dyDescent="0.35">
      <c r="AN85" t="s">
        <v>338</v>
      </c>
      <c r="AO85">
        <f>SUMIF(AO83:AX83,"&lt;0")</f>
        <v>0</v>
      </c>
      <c r="BA85" t="s">
        <v>338</v>
      </c>
      <c r="BB85">
        <f>SUMIF(BB83:BK83,"&lt;0")</f>
        <v>-10627.70543202613</v>
      </c>
      <c r="BN85" t="s">
        <v>338</v>
      </c>
      <c r="BO85">
        <f>SUMIF(BO83:BX83,"&lt;0")</f>
        <v>-8927.5593980889898</v>
      </c>
      <c r="CA85" t="s">
        <v>338</v>
      </c>
      <c r="CB85">
        <f>SUMIF(CB83:CK83,"&lt;0")</f>
        <v>-10239.380017640437</v>
      </c>
    </row>
    <row r="87" spans="39:89" x14ac:dyDescent="0.35">
      <c r="AM87" t="s">
        <v>187</v>
      </c>
      <c r="AZ87" t="s">
        <v>191</v>
      </c>
      <c r="BM87" t="s">
        <v>193</v>
      </c>
      <c r="BZ87" s="29" t="s">
        <v>195</v>
      </c>
    </row>
    <row r="93" spans="39:89" x14ac:dyDescent="0.35">
      <c r="AN93" t="s">
        <v>181</v>
      </c>
      <c r="AO93">
        <v>33289.300000000003</v>
      </c>
      <c r="BA93" t="s">
        <v>181</v>
      </c>
      <c r="BB93">
        <v>31115.032258064515</v>
      </c>
      <c r="BN93" t="s">
        <v>181</v>
      </c>
      <c r="BO93">
        <v>29874.133333333335</v>
      </c>
      <c r="CA93" t="s">
        <v>181</v>
      </c>
      <c r="CB93">
        <v>28135.709677419356</v>
      </c>
    </row>
    <row r="94" spans="39:89" x14ac:dyDescent="0.35">
      <c r="AN94" t="s">
        <v>201</v>
      </c>
      <c r="AO94">
        <f>2095.4+AI16/30</f>
        <v>14667.8</v>
      </c>
      <c r="BA94" t="s">
        <v>201</v>
      </c>
      <c r="BB94">
        <f>2577.25806451613+AI17/31</f>
        <v>18040.806451612905</v>
      </c>
      <c r="BN94" t="s">
        <v>201</v>
      </c>
      <c r="BO94">
        <f>3013.7+AI18/30</f>
        <v>21095.9</v>
      </c>
      <c r="CA94" t="s">
        <v>201</v>
      </c>
      <c r="CB94">
        <f>1788.25806451613+AI19/31</f>
        <v>12517.806451612905</v>
      </c>
    </row>
    <row r="95" spans="39:89" x14ac:dyDescent="0.35">
      <c r="AN95" t="s">
        <v>93</v>
      </c>
      <c r="AO95">
        <f>8.1+BD15</f>
        <v>7459.4</v>
      </c>
      <c r="BA95" t="s">
        <v>93</v>
      </c>
      <c r="BB95">
        <f>8.35483870967742+BD16</f>
        <v>5469.9225806451614</v>
      </c>
      <c r="BN95" t="s">
        <v>93</v>
      </c>
      <c r="BO95">
        <f>5.4+BD17</f>
        <v>4088.8199999999997</v>
      </c>
      <c r="CA95" t="s">
        <v>93</v>
      </c>
      <c r="CB95">
        <f>3.51612903225806+BD18</f>
        <v>3396.3870967741937</v>
      </c>
    </row>
    <row r="96" spans="39:89" x14ac:dyDescent="0.35">
      <c r="AN96" t="s">
        <v>170</v>
      </c>
      <c r="AO96">
        <v>0</v>
      </c>
      <c r="BA96" t="s">
        <v>170</v>
      </c>
      <c r="BB96">
        <v>0</v>
      </c>
      <c r="BN96" t="s">
        <v>170</v>
      </c>
      <c r="BO96">
        <v>0</v>
      </c>
      <c r="CA96" t="s">
        <v>170</v>
      </c>
      <c r="CB96">
        <v>0</v>
      </c>
    </row>
    <row r="97" spans="40:89" x14ac:dyDescent="0.35">
      <c r="AN97" t="s">
        <v>172</v>
      </c>
      <c r="AO97">
        <v>10633.333333333334</v>
      </c>
      <c r="BA97" t="s">
        <v>172</v>
      </c>
      <c r="BB97">
        <v>12701.483870967742</v>
      </c>
      <c r="BN97" t="s">
        <v>172</v>
      </c>
      <c r="BO97">
        <v>18097.433333333334</v>
      </c>
      <c r="CA97" t="s">
        <v>172</v>
      </c>
      <c r="CB97">
        <v>20349.580645161292</v>
      </c>
    </row>
    <row r="99" spans="40:89" x14ac:dyDescent="0.35">
      <c r="AO99" t="s">
        <v>154</v>
      </c>
      <c r="AP99" t="s">
        <v>155</v>
      </c>
      <c r="AQ99" t="s">
        <v>156</v>
      </c>
      <c r="AR99" t="s">
        <v>157</v>
      </c>
      <c r="AS99" t="s">
        <v>158</v>
      </c>
      <c r="AT99" t="s">
        <v>159</v>
      </c>
      <c r="AU99" t="s">
        <v>160</v>
      </c>
      <c r="AV99" t="s">
        <v>161</v>
      </c>
      <c r="AW99" t="s">
        <v>162</v>
      </c>
      <c r="AX99" t="s">
        <v>163</v>
      </c>
      <c r="BB99" t="s">
        <v>154</v>
      </c>
      <c r="BC99" t="s">
        <v>155</v>
      </c>
      <c r="BD99" t="s">
        <v>156</v>
      </c>
      <c r="BE99" t="s">
        <v>157</v>
      </c>
      <c r="BF99" t="s">
        <v>158</v>
      </c>
      <c r="BG99" t="s">
        <v>159</v>
      </c>
      <c r="BH99" t="s">
        <v>160</v>
      </c>
      <c r="BI99" t="s">
        <v>161</v>
      </c>
      <c r="BJ99" t="s">
        <v>162</v>
      </c>
      <c r="BK99" t="s">
        <v>163</v>
      </c>
      <c r="BO99" t="s">
        <v>154</v>
      </c>
      <c r="BP99" t="s">
        <v>155</v>
      </c>
      <c r="BQ99" t="s">
        <v>156</v>
      </c>
      <c r="BR99" t="s">
        <v>157</v>
      </c>
      <c r="BS99" t="s">
        <v>158</v>
      </c>
      <c r="BT99" t="s">
        <v>159</v>
      </c>
      <c r="BU99" t="s">
        <v>160</v>
      </c>
      <c r="BV99" t="s">
        <v>161</v>
      </c>
      <c r="BW99" t="s">
        <v>162</v>
      </c>
      <c r="BX99" t="s">
        <v>163</v>
      </c>
      <c r="CA99" s="33"/>
      <c r="CB99" t="s">
        <v>154</v>
      </c>
      <c r="CC99" t="s">
        <v>155</v>
      </c>
      <c r="CD99" t="s">
        <v>156</v>
      </c>
      <c r="CE99" t="s">
        <v>157</v>
      </c>
      <c r="CF99" t="s">
        <v>158</v>
      </c>
      <c r="CG99" t="s">
        <v>159</v>
      </c>
      <c r="CH99" t="s">
        <v>160</v>
      </c>
      <c r="CI99" t="s">
        <v>161</v>
      </c>
      <c r="CJ99" t="s">
        <v>162</v>
      </c>
      <c r="CK99" t="s">
        <v>163</v>
      </c>
    </row>
    <row r="100" spans="40:89" x14ac:dyDescent="0.35">
      <c r="AN100" t="s">
        <v>181</v>
      </c>
      <c r="AO100">
        <v>9.2715231788079472E-2</v>
      </c>
      <c r="AP100">
        <v>8.6092715231788089E-2</v>
      </c>
      <c r="AQ100">
        <v>8.6092715231788089E-2</v>
      </c>
      <c r="AR100">
        <v>8.6092715231788089E-2</v>
      </c>
      <c r="AS100">
        <v>0.10596026490066227</v>
      </c>
      <c r="AT100">
        <v>0.10596026490066227</v>
      </c>
      <c r="AU100">
        <v>0.10596026490066227</v>
      </c>
      <c r="AV100">
        <v>9.602649006622517E-2</v>
      </c>
      <c r="AW100">
        <v>0.11920529801324505</v>
      </c>
      <c r="AX100">
        <v>0.11589403973509935</v>
      </c>
      <c r="BA100" t="s">
        <v>181</v>
      </c>
      <c r="BB100">
        <v>9.3189964157706098E-2</v>
      </c>
      <c r="BC100">
        <v>8.6021505376344093E-2</v>
      </c>
      <c r="BD100">
        <v>8.6021505376344093E-2</v>
      </c>
      <c r="BE100">
        <v>8.6021505376344093E-2</v>
      </c>
      <c r="BF100">
        <v>0.1039426523297491</v>
      </c>
      <c r="BG100">
        <v>0.1039426523297491</v>
      </c>
      <c r="BH100">
        <v>0.1039426523297491</v>
      </c>
      <c r="BI100">
        <v>0.1003584229390681</v>
      </c>
      <c r="BJ100">
        <v>0.12186379928315412</v>
      </c>
      <c r="BK100">
        <v>0.11469534050179213</v>
      </c>
      <c r="BN100" t="s">
        <v>181</v>
      </c>
      <c r="BO100">
        <v>8.9347079037800689E-2</v>
      </c>
      <c r="BP100">
        <v>8.247422680412371E-2</v>
      </c>
      <c r="BQ100">
        <v>8.247422680412371E-2</v>
      </c>
      <c r="BR100">
        <v>8.9347079037800689E-2</v>
      </c>
      <c r="BS100">
        <v>0.10309278350515463</v>
      </c>
      <c r="BT100">
        <v>9.9656357388316144E-2</v>
      </c>
      <c r="BU100">
        <v>9.6219931271477654E-2</v>
      </c>
      <c r="BV100">
        <v>0.12371134020618556</v>
      </c>
      <c r="BW100">
        <v>0.12371134020618556</v>
      </c>
      <c r="BX100">
        <v>0.10996563573883161</v>
      </c>
      <c r="CA100" s="33" t="s">
        <v>181</v>
      </c>
      <c r="CB100">
        <v>8.9347079037800689E-2</v>
      </c>
      <c r="CC100">
        <v>8.247422680412371E-2</v>
      </c>
      <c r="CD100">
        <v>8.247422680412371E-2</v>
      </c>
      <c r="CE100">
        <v>8.9347079037800689E-2</v>
      </c>
      <c r="CF100">
        <v>9.9656357388316144E-2</v>
      </c>
      <c r="CG100">
        <v>9.9656357388316144E-2</v>
      </c>
      <c r="CH100">
        <v>9.9656357388316144E-2</v>
      </c>
      <c r="CI100">
        <v>0.10309278350515463</v>
      </c>
      <c r="CJ100">
        <v>0.13058419243986252</v>
      </c>
      <c r="CK100">
        <v>0.12371134020618556</v>
      </c>
    </row>
    <row r="101" spans="40:89" x14ac:dyDescent="0.35">
      <c r="AN101" t="s">
        <v>181</v>
      </c>
      <c r="AO101">
        <v>3086.4251655629141</v>
      </c>
      <c r="AP101">
        <v>2865.9662251655636</v>
      </c>
      <c r="AQ101">
        <v>2865.9662251655636</v>
      </c>
      <c r="AR101">
        <v>2865.9662251655636</v>
      </c>
      <c r="AS101">
        <v>3527.3430463576165</v>
      </c>
      <c r="AT101">
        <v>3527.3430463576165</v>
      </c>
      <c r="AU101">
        <v>3527.3430463576165</v>
      </c>
      <c r="AV101">
        <v>3196.6546357615898</v>
      </c>
      <c r="AW101">
        <v>3968.2609271523188</v>
      </c>
      <c r="AX101">
        <v>3858.0314569536431</v>
      </c>
      <c r="BA101" t="s">
        <v>181</v>
      </c>
      <c r="BB101">
        <v>2899.6087408949011</v>
      </c>
      <c r="BC101">
        <v>2676.5619146722165</v>
      </c>
      <c r="BD101">
        <v>2676.5619146722165</v>
      </c>
      <c r="BE101">
        <v>2676.5619146722165</v>
      </c>
      <c r="BF101">
        <v>3234.1789802289281</v>
      </c>
      <c r="BG101">
        <v>3234.1789802289281</v>
      </c>
      <c r="BH101">
        <v>3234.1789802289281</v>
      </c>
      <c r="BI101">
        <v>3122.6555671175856</v>
      </c>
      <c r="BJ101">
        <v>3791.7960457856398</v>
      </c>
      <c r="BK101">
        <v>3568.7492195629557</v>
      </c>
      <c r="BN101" t="s">
        <v>181</v>
      </c>
      <c r="BO101">
        <v>2669.1665521191298</v>
      </c>
      <c r="BP101">
        <v>2463.8460481099655</v>
      </c>
      <c r="BQ101">
        <v>2463.8460481099655</v>
      </c>
      <c r="BR101">
        <v>2669.1665521191298</v>
      </c>
      <c r="BS101">
        <v>3079.8075601374571</v>
      </c>
      <c r="BT101">
        <v>2977.147308132875</v>
      </c>
      <c r="BU101">
        <v>2874.4870561282933</v>
      </c>
      <c r="BV101">
        <v>3695.7690721649483</v>
      </c>
      <c r="BW101">
        <v>3695.7690721649483</v>
      </c>
      <c r="BX101">
        <v>3285.128064146621</v>
      </c>
      <c r="CA101" s="33" t="s">
        <v>181</v>
      </c>
      <c r="CB101">
        <v>159.77563463030705</v>
      </c>
      <c r="CC101">
        <v>147.48520119720652</v>
      </c>
      <c r="CD101">
        <v>147.48520119720652</v>
      </c>
      <c r="CE101">
        <v>159.77563463030705</v>
      </c>
      <c r="CF101">
        <v>178.21128477995785</v>
      </c>
      <c r="CG101">
        <v>178.21128477995785</v>
      </c>
      <c r="CH101">
        <v>178.21128477995785</v>
      </c>
      <c r="CI101">
        <v>184.35650149650814</v>
      </c>
      <c r="CJ101">
        <v>233.51823522891027</v>
      </c>
      <c r="CK101">
        <v>221.22780179580977</v>
      </c>
    </row>
    <row r="102" spans="40:89" x14ac:dyDescent="0.35">
      <c r="AN102" t="s">
        <v>184</v>
      </c>
      <c r="AO102">
        <v>7.9397395311792074E-2</v>
      </c>
      <c r="AP102">
        <v>7.6677485065383327E-2</v>
      </c>
      <c r="AQ102">
        <v>0.11396112109905183</v>
      </c>
      <c r="AR102">
        <v>7.5158452346941615E-2</v>
      </c>
      <c r="AS102">
        <v>0.12778632283781924</v>
      </c>
      <c r="AT102">
        <v>9.1066612670865119E-2</v>
      </c>
      <c r="AU102">
        <v>9.6249600402211005E-2</v>
      </c>
      <c r="AV102">
        <v>0.13866925038500866</v>
      </c>
      <c r="AW102">
        <v>8.0964443892943369E-2</v>
      </c>
      <c r="AX102">
        <v>0.12006931598798368</v>
      </c>
      <c r="BA102" t="s">
        <v>184</v>
      </c>
      <c r="BB102">
        <v>7.6619051153292692E-2</v>
      </c>
      <c r="BC102">
        <v>8.2220707070138732E-2</v>
      </c>
      <c r="BD102">
        <v>0.12755908028809707</v>
      </c>
      <c r="BE102">
        <v>8.1772772917784536E-2</v>
      </c>
      <c r="BF102">
        <v>0.1281580639912053</v>
      </c>
      <c r="BG102">
        <v>9.2000032830664033E-2</v>
      </c>
      <c r="BH102">
        <v>9.0301045945394481E-2</v>
      </c>
      <c r="BI102">
        <v>0.1255138847629251</v>
      </c>
      <c r="BJ102">
        <v>7.8142711137096338E-2</v>
      </c>
      <c r="BK102">
        <v>0.11771264990340186</v>
      </c>
      <c r="BN102" t="s">
        <v>184</v>
      </c>
      <c r="BO102">
        <v>9.0199740284081051E-2</v>
      </c>
      <c r="BP102">
        <v>8.4370858267400317E-2</v>
      </c>
      <c r="BQ102">
        <v>0.11682363414862715</v>
      </c>
      <c r="BR102">
        <v>7.1950011379305748E-2</v>
      </c>
      <c r="BS102">
        <v>0.11073035061649067</v>
      </c>
      <c r="BT102">
        <v>8.3398931684003391E-2</v>
      </c>
      <c r="BU102">
        <v>9.0741930733496692E-2</v>
      </c>
      <c r="BV102">
        <v>0.13100091034445832</v>
      </c>
      <c r="BW102">
        <v>8.3926395973064546E-2</v>
      </c>
      <c r="BX102">
        <v>0.13685723656907242</v>
      </c>
      <c r="CA102" s="33" t="s">
        <v>184</v>
      </c>
      <c r="CB102">
        <v>7.5537468007057559E-2</v>
      </c>
      <c r="CC102">
        <v>7.7803314119537614E-2</v>
      </c>
      <c r="CD102">
        <v>0.12075223946347316</v>
      </c>
      <c r="CE102">
        <v>8.2920362116533475E-2</v>
      </c>
      <c r="CF102">
        <v>0.130606744051324</v>
      </c>
      <c r="CG102">
        <v>9.0438807162156243E-2</v>
      </c>
      <c r="CH102">
        <v>9.2724888401881728E-2</v>
      </c>
      <c r="CI102">
        <v>0.12802518125957793</v>
      </c>
      <c r="CJ102">
        <v>8.597879114646817E-2</v>
      </c>
      <c r="CK102">
        <v>0.1152122042719899</v>
      </c>
    </row>
    <row r="103" spans="40:89" x14ac:dyDescent="0.35">
      <c r="AN103" t="s">
        <v>185</v>
      </c>
      <c r="AO103">
        <f t="shared" ref="AO103:AX103" si="46">$AO$94*AO102</f>
        <v>1164.5851149543037</v>
      </c>
      <c r="AP103">
        <f t="shared" si="46"/>
        <v>1124.6900154420296</v>
      </c>
      <c r="AQ103">
        <f t="shared" si="46"/>
        <v>1671.5589320566723</v>
      </c>
      <c r="AR103">
        <f t="shared" si="46"/>
        <v>1102.4091473344702</v>
      </c>
      <c r="AS103">
        <f t="shared" si="46"/>
        <v>1874.3442261205648</v>
      </c>
      <c r="AT103">
        <f t="shared" si="46"/>
        <v>1335.7468613337153</v>
      </c>
      <c r="AU103">
        <f t="shared" si="46"/>
        <v>1411.7698887795505</v>
      </c>
      <c r="AV103">
        <f t="shared" si="46"/>
        <v>2033.9728307972298</v>
      </c>
      <c r="AW103">
        <f t="shared" si="46"/>
        <v>1187.5702701329146</v>
      </c>
      <c r="AX103">
        <f t="shared" si="46"/>
        <v>1761.152713048547</v>
      </c>
      <c r="BA103" t="s">
        <v>185</v>
      </c>
      <c r="BB103">
        <f t="shared" ref="BB103:BK103" si="47">$BB$94*BB102</f>
        <v>1382.2694723627819</v>
      </c>
      <c r="BC103">
        <f t="shared" si="47"/>
        <v>1483.3278625671337</v>
      </c>
      <c r="BD103">
        <f t="shared" si="47"/>
        <v>2301.2686786233103</v>
      </c>
      <c r="BE103">
        <f t="shared" si="47"/>
        <v>1475.2467692214443</v>
      </c>
      <c r="BF103">
        <f t="shared" si="47"/>
        <v>2312.0748276787563</v>
      </c>
      <c r="BG103">
        <f t="shared" si="47"/>
        <v>1659.7547858400428</v>
      </c>
      <c r="BH103">
        <f t="shared" si="47"/>
        <v>1629.1036922790661</v>
      </c>
      <c r="BI103">
        <f t="shared" si="47"/>
        <v>2264.3717019979781</v>
      </c>
      <c r="BJ103">
        <f t="shared" si="47"/>
        <v>1409.7575272286513</v>
      </c>
      <c r="BK103">
        <f t="shared" si="47"/>
        <v>2123.6311338137434</v>
      </c>
      <c r="BN103" t="s">
        <v>185</v>
      </c>
      <c r="BO103">
        <f t="shared" ref="BO103:BX103" si="48">$BO$94*BO102</f>
        <v>1902.8447010589455</v>
      </c>
      <c r="BP103">
        <f t="shared" si="48"/>
        <v>1779.8791889232505</v>
      </c>
      <c r="BQ103">
        <f t="shared" si="48"/>
        <v>2464.4997036360237</v>
      </c>
      <c r="BR103">
        <f t="shared" si="48"/>
        <v>1517.8502450566962</v>
      </c>
      <c r="BS103">
        <f t="shared" si="48"/>
        <v>2335.9564035704257</v>
      </c>
      <c r="BT103">
        <f t="shared" si="48"/>
        <v>1759.3755229125672</v>
      </c>
      <c r="BU103">
        <f t="shared" si="48"/>
        <v>1914.282696560773</v>
      </c>
      <c r="BV103">
        <f t="shared" si="48"/>
        <v>2763.5821045356583</v>
      </c>
      <c r="BW103">
        <f t="shared" si="48"/>
        <v>1770.5028568081725</v>
      </c>
      <c r="BX103">
        <f t="shared" si="48"/>
        <v>2887.126576937495</v>
      </c>
      <c r="CA103" s="33" t="s">
        <v>185</v>
      </c>
      <c r="CB103">
        <f t="shared" ref="CB103:CK103" si="49">$CB$94*CB102</f>
        <v>945.56340435724849</v>
      </c>
      <c r="CC103">
        <f t="shared" si="49"/>
        <v>973.92682744241336</v>
      </c>
      <c r="CD103">
        <f t="shared" si="49"/>
        <v>1511.5531622025708</v>
      </c>
      <c r="CE103">
        <f t="shared" si="49"/>
        <v>1037.981043872421</v>
      </c>
      <c r="CF103">
        <f t="shared" si="49"/>
        <v>1634.909943309819</v>
      </c>
      <c r="CG103">
        <f t="shared" si="49"/>
        <v>1132.0954837706149</v>
      </c>
      <c r="CH103">
        <f t="shared" si="49"/>
        <v>1160.7122062621618</v>
      </c>
      <c r="CI103">
        <f t="shared" si="49"/>
        <v>1602.5944399400562</v>
      </c>
      <c r="CJ103">
        <f t="shared" si="49"/>
        <v>1076.2658665151378</v>
      </c>
      <c r="CK103">
        <f t="shared" si="49"/>
        <v>1442.204073940459</v>
      </c>
    </row>
    <row r="104" spans="40:89" x14ac:dyDescent="0.35">
      <c r="AN104" t="s">
        <v>93</v>
      </c>
      <c r="AO104">
        <v>0</v>
      </c>
      <c r="AP104">
        <v>0</v>
      </c>
      <c r="AQ104">
        <v>1.3697081520859106E-8</v>
      </c>
      <c r="AR104">
        <v>1.7261204948637237E-2</v>
      </c>
      <c r="AS104">
        <v>0.24748708355997995</v>
      </c>
      <c r="AT104">
        <v>0.21142509731454834</v>
      </c>
      <c r="AU104">
        <v>0.2467759531682302</v>
      </c>
      <c r="AV104">
        <v>0.2537610836632852</v>
      </c>
      <c r="AW104">
        <v>2.3286787703424044E-2</v>
      </c>
      <c r="AX104">
        <v>2.7759448134666794E-6</v>
      </c>
      <c r="BA104" t="s">
        <v>93</v>
      </c>
      <c r="BB104">
        <v>7.2514394641549051E-9</v>
      </c>
      <c r="BC104">
        <v>4.350872670295862E-8</v>
      </c>
      <c r="BD104">
        <v>1.3294340152861849E-7</v>
      </c>
      <c r="BE104">
        <v>6.3211117607005016E-3</v>
      </c>
      <c r="BF104">
        <v>0.26347850047193278</v>
      </c>
      <c r="BG104">
        <v>0.23512725882717564</v>
      </c>
      <c r="BH104">
        <v>0.2354159634091566</v>
      </c>
      <c r="BI104">
        <v>0.25391274256742485</v>
      </c>
      <c r="BJ104">
        <v>5.7441522426337375E-3</v>
      </c>
      <c r="BK104">
        <v>8.7017408446902632E-8</v>
      </c>
      <c r="BN104" t="s">
        <v>93</v>
      </c>
      <c r="BO104">
        <v>3.8675869858438017E-8</v>
      </c>
      <c r="BP104">
        <v>1.0313584633508732E-7</v>
      </c>
      <c r="BQ104">
        <v>4.8344793812715689E-8</v>
      </c>
      <c r="BR104">
        <v>3.0961952116792356E-4</v>
      </c>
      <c r="BS104">
        <v>0.21558360952499522</v>
      </c>
      <c r="BT104">
        <v>0.29245633913713898</v>
      </c>
      <c r="BU104">
        <v>0.29418853383100235</v>
      </c>
      <c r="BV104">
        <v>0.19706562522124299</v>
      </c>
      <c r="BW104">
        <v>3.9601170222944304E-4</v>
      </c>
      <c r="BX104">
        <v>7.0905713062323219E-8</v>
      </c>
      <c r="CA104" s="33" t="s">
        <v>93</v>
      </c>
      <c r="CB104">
        <v>2.507204129661356E-7</v>
      </c>
      <c r="CC104">
        <v>1.8514739292029706E-7</v>
      </c>
      <c r="CD104">
        <v>2.5071983901029368E-7</v>
      </c>
      <c r="CE104">
        <v>6.7771536374837663E-6</v>
      </c>
      <c r="CF104">
        <v>0.20300754486126163</v>
      </c>
      <c r="CG104">
        <v>0.29237430155009203</v>
      </c>
      <c r="CH104">
        <v>0.28128210348347815</v>
      </c>
      <c r="CI104">
        <v>0.22314763212647346</v>
      </c>
      <c r="CJ104">
        <v>1.8074208955861718E-4</v>
      </c>
      <c r="CK104">
        <v>2.1214785410116639E-7</v>
      </c>
    </row>
    <row r="105" spans="40:89" x14ac:dyDescent="0.35">
      <c r="AN105" t="s">
        <v>189</v>
      </c>
      <c r="AO105">
        <f t="shared" ref="AO105:AX105" si="50">$AO$95*AO104</f>
        <v>0</v>
      </c>
      <c r="AP105">
        <f t="shared" si="50"/>
        <v>0</v>
      </c>
      <c r="AQ105">
        <f t="shared" si="50"/>
        <v>1.0217200989669641E-4</v>
      </c>
      <c r="AR105">
        <f t="shared" si="50"/>
        <v>128.75823219386459</v>
      </c>
      <c r="AS105">
        <f t="shared" si="50"/>
        <v>1846.1051511073144</v>
      </c>
      <c r="AT105">
        <f t="shared" si="50"/>
        <v>1577.1043709081418</v>
      </c>
      <c r="AU105">
        <f t="shared" si="50"/>
        <v>1840.8005450630963</v>
      </c>
      <c r="AV105">
        <f t="shared" si="50"/>
        <v>1892.9054274779096</v>
      </c>
      <c r="AW105">
        <f t="shared" si="50"/>
        <v>173.70546419492132</v>
      </c>
      <c r="AX105">
        <f t="shared" si="50"/>
        <v>2.0706882741573347E-2</v>
      </c>
      <c r="BA105" t="s">
        <v>189</v>
      </c>
      <c r="BB105">
        <f t="shared" ref="BB105:BK105" si="51">$BB$95*BB104</f>
        <v>3.9664812467162367E-5</v>
      </c>
      <c r="BC105">
        <f t="shared" si="51"/>
        <v>2.3798936664763245E-4</v>
      </c>
      <c r="BD105">
        <f t="shared" si="51"/>
        <v>7.2719011396916674E-4</v>
      </c>
      <c r="BE105">
        <f t="shared" si="51"/>
        <v>34.575991954637367</v>
      </c>
      <c r="BF105">
        <f t="shared" si="51"/>
        <v>1441.2069992459519</v>
      </c>
      <c r="BG105">
        <f t="shared" si="51"/>
        <v>1286.1279023839675</v>
      </c>
      <c r="BH105">
        <f t="shared" si="51"/>
        <v>1287.7070940960807</v>
      </c>
      <c r="BI105">
        <f t="shared" si="51"/>
        <v>1388.8830440830991</v>
      </c>
      <c r="BJ105">
        <f t="shared" si="51"/>
        <v>31.420068058645825</v>
      </c>
      <c r="BK105">
        <f t="shared" si="51"/>
        <v>4.7597848737293569E-4</v>
      </c>
      <c r="BN105" t="s">
        <v>189</v>
      </c>
      <c r="BO105">
        <f t="shared" ref="BO105:BX105" si="52">$BO$95*BO104</f>
        <v>1.5813867019457851E-4</v>
      </c>
      <c r="BP105">
        <f t="shared" si="52"/>
        <v>4.2170391121183174E-4</v>
      </c>
      <c r="BQ105">
        <f t="shared" si="52"/>
        <v>1.9767315983730815E-4</v>
      </c>
      <c r="BR105">
        <f t="shared" si="52"/>
        <v>1.2659784905418292</v>
      </c>
      <c r="BS105">
        <f t="shared" si="52"/>
        <v>881.48257429799094</v>
      </c>
      <c r="BT105">
        <f t="shared" si="52"/>
        <v>1195.8013285907166</v>
      </c>
      <c r="BU105">
        <f t="shared" si="52"/>
        <v>1202.883960898879</v>
      </c>
      <c r="BV105">
        <f t="shared" si="52"/>
        <v>805.76586971712265</v>
      </c>
      <c r="BW105">
        <f t="shared" si="52"/>
        <v>1.6192205683097911</v>
      </c>
      <c r="BX105">
        <f t="shared" si="52"/>
        <v>2.8992069768348839E-4</v>
      </c>
      <c r="CA105" s="33" t="s">
        <v>189</v>
      </c>
      <c r="CB105">
        <f t="shared" ref="CB105:CK105" si="53">$CB$95*CB104</f>
        <v>8.5154357549608022E-4</v>
      </c>
      <c r="CC105">
        <f t="shared" si="53"/>
        <v>6.2883221631587869E-4</v>
      </c>
      <c r="CD105">
        <f t="shared" si="53"/>
        <v>8.5154162611986454E-4</v>
      </c>
      <c r="CE105">
        <f t="shared" si="53"/>
        <v>2.3017837167206154E-2</v>
      </c>
      <c r="CF105">
        <f t="shared" si="53"/>
        <v>689.49220591459721</v>
      </c>
      <c r="CG105">
        <f t="shared" si="53"/>
        <v>993.01630521309971</v>
      </c>
      <c r="CH105">
        <f t="shared" si="53"/>
        <v>955.34290682478866</v>
      </c>
      <c r="CI105">
        <f t="shared" si="53"/>
        <v>757.89573843006895</v>
      </c>
      <c r="CJ105">
        <f t="shared" si="53"/>
        <v>0.61387010082089311</v>
      </c>
      <c r="CK105">
        <f t="shared" si="53"/>
        <v>7.2053623427753577E-4</v>
      </c>
    </row>
    <row r="106" spans="40:89" x14ac:dyDescent="0.35">
      <c r="AN106" t="s">
        <v>172</v>
      </c>
      <c r="AO106">
        <v>1063.3333333333335</v>
      </c>
      <c r="AP106">
        <v>1063.3333333333335</v>
      </c>
      <c r="AQ106">
        <v>1063.3333333333335</v>
      </c>
      <c r="AR106">
        <v>1063.3333333333335</v>
      </c>
      <c r="AS106">
        <v>1063.3333333333335</v>
      </c>
      <c r="AT106">
        <v>1063.3333333333335</v>
      </c>
      <c r="AU106">
        <v>1063.3333333333335</v>
      </c>
      <c r="AV106">
        <v>1063.3333333333335</v>
      </c>
      <c r="AW106">
        <v>1063.3333333333335</v>
      </c>
      <c r="AX106">
        <v>1063.3333333333335</v>
      </c>
      <c r="BA106" t="s">
        <v>172</v>
      </c>
      <c r="BB106">
        <v>1270.1483870967743</v>
      </c>
      <c r="BC106">
        <v>1270.1483870967743</v>
      </c>
      <c r="BD106">
        <v>1270.1483870967743</v>
      </c>
      <c r="BE106">
        <v>1270.1483870967743</v>
      </c>
      <c r="BF106">
        <v>1270.1483870967743</v>
      </c>
      <c r="BG106">
        <v>1270.1483870967743</v>
      </c>
      <c r="BH106">
        <v>1270.1483870967743</v>
      </c>
      <c r="BI106">
        <v>1270.1483870967743</v>
      </c>
      <c r="BJ106">
        <v>1270.1483870967743</v>
      </c>
      <c r="BK106">
        <v>1270.1483870967743</v>
      </c>
      <c r="BN106" t="s">
        <v>172</v>
      </c>
      <c r="BO106">
        <v>1809.7433333333333</v>
      </c>
      <c r="BP106">
        <v>1809.7433333333333</v>
      </c>
      <c r="BQ106">
        <v>1809.7433333333333</v>
      </c>
      <c r="BR106">
        <v>1809.7433333333333</v>
      </c>
      <c r="BS106">
        <v>1809.7433333333333</v>
      </c>
      <c r="BT106">
        <v>1809.7433333333333</v>
      </c>
      <c r="BU106">
        <v>1809.7433333333333</v>
      </c>
      <c r="BV106">
        <v>1809.7433333333333</v>
      </c>
      <c r="BW106">
        <v>1809.7433333333333</v>
      </c>
      <c r="BX106">
        <v>1809.7433333333333</v>
      </c>
      <c r="CA106" s="33" t="s">
        <v>172</v>
      </c>
      <c r="CB106">
        <v>2034.9580645161291</v>
      </c>
      <c r="CC106">
        <v>2034.9580645161291</v>
      </c>
      <c r="CD106">
        <v>2034.9580645161291</v>
      </c>
      <c r="CE106">
        <v>2034.9580645161291</v>
      </c>
      <c r="CF106">
        <v>2034.9580645161291</v>
      </c>
      <c r="CG106">
        <v>2034.9580645161291</v>
      </c>
      <c r="CH106">
        <v>2034.9580645161291</v>
      </c>
      <c r="CI106">
        <v>2034.9580645161291</v>
      </c>
      <c r="CJ106">
        <v>2034.9580645161291</v>
      </c>
      <c r="CK106">
        <v>2034.9580645161291</v>
      </c>
    </row>
    <row r="107" spans="40:89" x14ac:dyDescent="0.35">
      <c r="AN107" t="s">
        <v>170</v>
      </c>
      <c r="AO107">
        <v>0</v>
      </c>
      <c r="AP107">
        <v>0</v>
      </c>
      <c r="AQ107">
        <v>0</v>
      </c>
      <c r="AR107">
        <v>0</v>
      </c>
      <c r="AS107">
        <v>0</v>
      </c>
      <c r="AT107">
        <v>0</v>
      </c>
      <c r="AU107">
        <v>0</v>
      </c>
      <c r="AV107">
        <v>0</v>
      </c>
      <c r="AW107">
        <v>0</v>
      </c>
      <c r="AX107">
        <v>0</v>
      </c>
      <c r="BA107" t="s">
        <v>170</v>
      </c>
      <c r="BB107">
        <v>0</v>
      </c>
      <c r="BC107">
        <v>0</v>
      </c>
      <c r="BD107">
        <v>0</v>
      </c>
      <c r="BE107">
        <v>0</v>
      </c>
      <c r="BF107">
        <v>0</v>
      </c>
      <c r="BG107">
        <v>0</v>
      </c>
      <c r="BH107">
        <v>0</v>
      </c>
      <c r="BI107">
        <v>0</v>
      </c>
      <c r="BJ107">
        <v>0</v>
      </c>
      <c r="BK107">
        <v>0</v>
      </c>
      <c r="BN107" t="s">
        <v>170</v>
      </c>
      <c r="BO107">
        <v>0</v>
      </c>
      <c r="BP107">
        <v>0</v>
      </c>
      <c r="BQ107">
        <v>0</v>
      </c>
      <c r="BR107">
        <v>0</v>
      </c>
      <c r="BS107">
        <v>0</v>
      </c>
      <c r="BT107">
        <v>0</v>
      </c>
      <c r="BU107">
        <v>0</v>
      </c>
      <c r="BV107">
        <v>0</v>
      </c>
      <c r="BW107">
        <v>0</v>
      </c>
      <c r="BX107">
        <v>0</v>
      </c>
      <c r="CA107" s="33" t="s">
        <v>170</v>
      </c>
      <c r="CB107">
        <v>0</v>
      </c>
      <c r="CC107">
        <v>0</v>
      </c>
      <c r="CD107">
        <v>0</v>
      </c>
      <c r="CE107">
        <v>0</v>
      </c>
      <c r="CF107">
        <v>0</v>
      </c>
      <c r="CG107">
        <v>0</v>
      </c>
      <c r="CH107">
        <v>0</v>
      </c>
      <c r="CI107">
        <v>0</v>
      </c>
      <c r="CJ107">
        <v>0</v>
      </c>
      <c r="CK107">
        <v>0</v>
      </c>
    </row>
    <row r="108" spans="40:89" x14ac:dyDescent="0.35">
      <c r="CA108" s="33"/>
    </row>
    <row r="109" spans="40:89" x14ac:dyDescent="0.35">
      <c r="AN109" t="s">
        <v>194</v>
      </c>
      <c r="AO109">
        <f t="shared" ref="AO109:AX109" si="54">SUM(AO103,AO105:AO107)</f>
        <v>2227.9184482876371</v>
      </c>
      <c r="AP109">
        <f t="shared" si="54"/>
        <v>2188.023348775363</v>
      </c>
      <c r="AQ109">
        <f t="shared" si="54"/>
        <v>2734.8923675620158</v>
      </c>
      <c r="AR109">
        <f t="shared" si="54"/>
        <v>2294.500712861668</v>
      </c>
      <c r="AS109">
        <f t="shared" si="54"/>
        <v>4783.7827105612123</v>
      </c>
      <c r="AT109">
        <f t="shared" si="54"/>
        <v>3976.1845655751908</v>
      </c>
      <c r="AU109">
        <f t="shared" si="54"/>
        <v>4315.9037671759797</v>
      </c>
      <c r="AV109">
        <f t="shared" si="54"/>
        <v>4990.2115916084731</v>
      </c>
      <c r="AW109">
        <f t="shared" si="54"/>
        <v>2424.6090676611693</v>
      </c>
      <c r="AX109">
        <f t="shared" si="54"/>
        <v>2824.5067532646217</v>
      </c>
      <c r="BA109" t="s">
        <v>194</v>
      </c>
      <c r="BB109">
        <f t="shared" ref="BB109:BK109" si="55">SUM(BB103,BB105:BB107)</f>
        <v>2652.4178991243689</v>
      </c>
      <c r="BC109">
        <f t="shared" si="55"/>
        <v>2753.4764876532745</v>
      </c>
      <c r="BD109">
        <f t="shared" si="55"/>
        <v>3571.4177929101988</v>
      </c>
      <c r="BE109">
        <f t="shared" si="55"/>
        <v>2779.9711482728562</v>
      </c>
      <c r="BF109">
        <f t="shared" si="55"/>
        <v>5023.4302140214822</v>
      </c>
      <c r="BG109">
        <f t="shared" si="55"/>
        <v>4216.0310753207841</v>
      </c>
      <c r="BH109">
        <f t="shared" si="55"/>
        <v>4186.9591734719206</v>
      </c>
      <c r="BI109">
        <f t="shared" si="55"/>
        <v>4923.4031331778515</v>
      </c>
      <c r="BJ109">
        <f t="shared" si="55"/>
        <v>2711.3259823840717</v>
      </c>
      <c r="BK109">
        <f t="shared" si="55"/>
        <v>3393.7799968890049</v>
      </c>
      <c r="BN109" t="s">
        <v>194</v>
      </c>
      <c r="BO109">
        <f t="shared" ref="BO109:BX109" si="56">SUM(BO103,BO105:BO107)</f>
        <v>3712.5881925309491</v>
      </c>
      <c r="BP109">
        <f t="shared" si="56"/>
        <v>3589.6229439604949</v>
      </c>
      <c r="BQ109">
        <f t="shared" si="56"/>
        <v>4274.2432346425167</v>
      </c>
      <c r="BR109">
        <f t="shared" si="56"/>
        <v>3328.8595568805713</v>
      </c>
      <c r="BS109">
        <f t="shared" si="56"/>
        <v>5027.1823112017501</v>
      </c>
      <c r="BT109">
        <f t="shared" si="56"/>
        <v>4764.9201848366174</v>
      </c>
      <c r="BU109">
        <f t="shared" si="56"/>
        <v>4926.9099907929849</v>
      </c>
      <c r="BV109">
        <f t="shared" si="56"/>
        <v>5379.0913075861145</v>
      </c>
      <c r="BW109">
        <f t="shared" si="56"/>
        <v>3581.8654107098155</v>
      </c>
      <c r="BX109">
        <f t="shared" si="56"/>
        <v>4696.8702001915262</v>
      </c>
      <c r="CA109" s="33" t="s">
        <v>194</v>
      </c>
      <c r="CB109">
        <f t="shared" ref="CB109:CK109" si="57">SUM(CB103,CB105:CB107)</f>
        <v>2980.5223204169533</v>
      </c>
      <c r="CC109">
        <f t="shared" si="57"/>
        <v>3008.8855207907586</v>
      </c>
      <c r="CD109">
        <f t="shared" si="57"/>
        <v>3546.5120782603262</v>
      </c>
      <c r="CE109">
        <f t="shared" si="57"/>
        <v>3072.9621262257169</v>
      </c>
      <c r="CF109">
        <f t="shared" si="57"/>
        <v>4359.3602137405451</v>
      </c>
      <c r="CG109">
        <f t="shared" si="57"/>
        <v>4160.0698534998437</v>
      </c>
      <c r="CH109">
        <f t="shared" si="57"/>
        <v>4151.0131776030794</v>
      </c>
      <c r="CI109">
        <f t="shared" si="57"/>
        <v>4395.4482428862539</v>
      </c>
      <c r="CJ109">
        <f t="shared" si="57"/>
        <v>3111.8378011320874</v>
      </c>
      <c r="CK109">
        <f t="shared" si="57"/>
        <v>3477.1628589928223</v>
      </c>
    </row>
    <row r="110" spans="40:89" x14ac:dyDescent="0.35">
      <c r="AN110" t="s">
        <v>335</v>
      </c>
      <c r="AO110">
        <f t="shared" ref="AO110:AX110" si="58">AO109-AO101</f>
        <v>-858.50671727527697</v>
      </c>
      <c r="AP110">
        <f t="shared" si="58"/>
        <v>-677.94287639020058</v>
      </c>
      <c r="AQ110">
        <f t="shared" si="58"/>
        <v>-131.07385760354782</v>
      </c>
      <c r="AR110">
        <f t="shared" si="58"/>
        <v>-571.46551230389559</v>
      </c>
      <c r="AS110">
        <f t="shared" si="58"/>
        <v>1256.4396642035958</v>
      </c>
      <c r="AT110">
        <f t="shared" si="58"/>
        <v>448.84151921757439</v>
      </c>
      <c r="AU110">
        <f t="shared" si="58"/>
        <v>788.56072081836328</v>
      </c>
      <c r="AV110">
        <f t="shared" si="58"/>
        <v>1793.5569558468833</v>
      </c>
      <c r="AW110">
        <f t="shared" si="58"/>
        <v>-1543.6518594911495</v>
      </c>
      <c r="AX110">
        <f t="shared" si="58"/>
        <v>-1033.5247036890214</v>
      </c>
      <c r="BA110" t="s">
        <v>335</v>
      </c>
      <c r="BB110">
        <f t="shared" ref="BB110:BK110" si="59">BB109-BB101</f>
        <v>-247.19084177053219</v>
      </c>
      <c r="BC110">
        <f t="shared" si="59"/>
        <v>76.914572981057972</v>
      </c>
      <c r="BD110">
        <f t="shared" si="59"/>
        <v>894.85587823798232</v>
      </c>
      <c r="BE110">
        <f t="shared" si="59"/>
        <v>103.40923360063971</v>
      </c>
      <c r="BF110">
        <f t="shared" si="59"/>
        <v>1789.2512337925541</v>
      </c>
      <c r="BG110">
        <f t="shared" si="59"/>
        <v>981.85209509185597</v>
      </c>
      <c r="BH110">
        <f t="shared" si="59"/>
        <v>952.78019324299248</v>
      </c>
      <c r="BI110">
        <f t="shared" si="59"/>
        <v>1800.7475660602659</v>
      </c>
      <c r="BJ110">
        <f t="shared" si="59"/>
        <v>-1080.470063401568</v>
      </c>
      <c r="BK110">
        <f t="shared" si="59"/>
        <v>-174.96922267395075</v>
      </c>
      <c r="BN110" t="s">
        <v>335</v>
      </c>
      <c r="BO110">
        <f t="shared" ref="BO110:BX110" si="60">BO109-BO101</f>
        <v>1043.4216404118192</v>
      </c>
      <c r="BP110">
        <f t="shared" si="60"/>
        <v>1125.7768958505294</v>
      </c>
      <c r="BQ110">
        <f t="shared" si="60"/>
        <v>1810.3971865325511</v>
      </c>
      <c r="BR110">
        <f t="shared" si="60"/>
        <v>659.69300476144144</v>
      </c>
      <c r="BS110">
        <f t="shared" si="60"/>
        <v>1947.3747510642929</v>
      </c>
      <c r="BT110">
        <f t="shared" si="60"/>
        <v>1787.7728767037424</v>
      </c>
      <c r="BU110">
        <f t="shared" si="60"/>
        <v>2052.4229346646916</v>
      </c>
      <c r="BV110">
        <f t="shared" si="60"/>
        <v>1683.3222354211662</v>
      </c>
      <c r="BW110">
        <f t="shared" si="60"/>
        <v>-113.90366145513281</v>
      </c>
      <c r="BX110">
        <f t="shared" si="60"/>
        <v>1411.7421360449052</v>
      </c>
      <c r="CA110" t="s">
        <v>335</v>
      </c>
      <c r="CB110">
        <f t="shared" ref="CB110:CK110" si="61">CB109-CB101</f>
        <v>2820.7466857866461</v>
      </c>
      <c r="CC110">
        <f t="shared" si="61"/>
        <v>2861.400319593552</v>
      </c>
      <c r="CD110">
        <f t="shared" si="61"/>
        <v>3399.0268770631196</v>
      </c>
      <c r="CE110">
        <f t="shared" si="61"/>
        <v>2913.1864915954097</v>
      </c>
      <c r="CF110">
        <f t="shared" si="61"/>
        <v>4181.148928960587</v>
      </c>
      <c r="CG110">
        <f t="shared" si="61"/>
        <v>3981.8585687198856</v>
      </c>
      <c r="CH110">
        <f t="shared" si="61"/>
        <v>3972.8018928231213</v>
      </c>
      <c r="CI110">
        <f t="shared" si="61"/>
        <v>4211.0917413897459</v>
      </c>
      <c r="CJ110">
        <f t="shared" si="61"/>
        <v>2878.3195659031771</v>
      </c>
      <c r="CK110">
        <f t="shared" si="61"/>
        <v>3255.9350571970126</v>
      </c>
    </row>
    <row r="112" spans="40:89" x14ac:dyDescent="0.35">
      <c r="AN112" t="s">
        <v>338</v>
      </c>
      <c r="AO112">
        <f>SUMIF(AO110:AX110,"&lt;0")</f>
        <v>-4816.1655267530914</v>
      </c>
      <c r="BA112" t="s">
        <v>338</v>
      </c>
      <c r="BB112">
        <f>SUMIF(BB110:BK110,"&lt;0")</f>
        <v>-1502.630127846051</v>
      </c>
      <c r="BN112" t="s">
        <v>338</v>
      </c>
      <c r="BO112">
        <f>SUMIF(BO110:BX110,"&lt;0")</f>
        <v>-113.90366145513281</v>
      </c>
      <c r="CA112" t="s">
        <v>338</v>
      </c>
      <c r="CB112">
        <f>SUMIF(CB110:CK110,"&lt;0")</f>
        <v>0</v>
      </c>
    </row>
  </sheetData>
  <mergeCells count="3">
    <mergeCell ref="AQ6:AS6"/>
    <mergeCell ref="BH7:BK7"/>
    <mergeCell ref="BH13:BH14"/>
  </mergeCells>
  <conditionalFormatting sqref="D2:D13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{6FE54BF9-DB3A-4E5D-B8F6-DB9ECFC6C1A9}</x14:id>
        </ext>
      </extLst>
    </cfRule>
  </conditionalFormatting>
  <conditionalFormatting sqref="AO56:AX56">
    <cfRule type="cellIs" dxfId="0" priority="3" operator="lessThan">
      <formula>0</formula>
    </cfRule>
  </conditionalFormatting>
  <conditionalFormatting sqref="AX8:AX19">
    <cfRule type="colorScale" priority="1">
      <colorScale>
        <cfvo type="min"/>
        <cfvo type="max"/>
        <color rgb="FFF8696B"/>
        <color rgb="FFFCFCFF"/>
      </colorScale>
    </cfRule>
  </conditionalFormatting>
  <conditionalFormatting sqref="BI8">
    <cfRule type="colorScale" priority="2">
      <colorScale>
        <cfvo type="min"/>
        <cfvo type="max"/>
        <color rgb="FFF8696B"/>
        <color rgb="FFFCFCFF"/>
      </colorScale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FE54BF9-DB3A-4E5D-B8F6-DB9ECFC6C1A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D2:D13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82E443-2219-46FB-9BFA-F251BC672A8C}">
  <sheetPr>
    <tabColor rgb="FFFFFF00"/>
  </sheetPr>
  <dimension ref="A1:J11"/>
  <sheetViews>
    <sheetView workbookViewId="0">
      <selection activeCell="L17" sqref="L17"/>
    </sheetView>
  </sheetViews>
  <sheetFormatPr defaultRowHeight="14.5" x14ac:dyDescent="0.35"/>
  <cols>
    <col min="1" max="3" width="8.6328125" customWidth="1"/>
    <col min="4" max="4" width="11.54296875" customWidth="1"/>
    <col min="5" max="5" width="9.90625" customWidth="1"/>
    <col min="6" max="6" width="8.81640625" customWidth="1"/>
    <col min="7" max="7" width="19.453125" customWidth="1"/>
  </cols>
  <sheetData>
    <row r="1" spans="1:10" x14ac:dyDescent="0.35">
      <c r="A1" s="128" t="s">
        <v>508</v>
      </c>
      <c r="B1" s="129" t="s">
        <v>511</v>
      </c>
      <c r="C1" s="129" t="s">
        <v>510</v>
      </c>
      <c r="D1" s="131" t="s">
        <v>512</v>
      </c>
      <c r="E1" s="133" t="s">
        <v>66</v>
      </c>
      <c r="F1" s="133" t="s">
        <v>509</v>
      </c>
      <c r="G1" s="134" t="s">
        <v>513</v>
      </c>
      <c r="I1" s="185" t="s">
        <v>501</v>
      </c>
      <c r="J1" s="186"/>
    </row>
    <row r="2" spans="1:10" x14ac:dyDescent="0.35">
      <c r="A2" s="128">
        <v>2021</v>
      </c>
      <c r="B2" s="132">
        <v>46275925</v>
      </c>
      <c r="C2" s="132">
        <v>63532118</v>
      </c>
      <c r="D2" s="132">
        <f>B2+C2</f>
        <v>109808043</v>
      </c>
      <c r="E2" s="135">
        <v>93026</v>
      </c>
      <c r="F2" s="135">
        <v>271524327</v>
      </c>
      <c r="G2" s="135">
        <f>E2+F2</f>
        <v>271617353</v>
      </c>
    </row>
    <row r="3" spans="1:10" x14ac:dyDescent="0.35">
      <c r="A3" s="128">
        <v>2022</v>
      </c>
      <c r="B3" s="129">
        <f>(B2*E3)/E2</f>
        <v>36742764.091221809</v>
      </c>
      <c r="C3" s="129">
        <f t="shared" ref="C3" si="0">(C2*F3)/F2</f>
        <v>61070681.453393236</v>
      </c>
      <c r="D3" s="130">
        <f>B3+C3</f>
        <v>97813445.544615045</v>
      </c>
      <c r="E3" s="135">
        <v>73862</v>
      </c>
      <c r="F3" s="135">
        <v>261004610</v>
      </c>
      <c r="G3" s="135">
        <f>E3+F3</f>
        <v>261078472</v>
      </c>
    </row>
    <row r="5" spans="1:10" x14ac:dyDescent="0.35">
      <c r="A5" s="128" t="s">
        <v>508</v>
      </c>
      <c r="B5" s="129" t="s">
        <v>511</v>
      </c>
      <c r="C5" s="129" t="s">
        <v>510</v>
      </c>
      <c r="D5" s="131" t="s">
        <v>512</v>
      </c>
      <c r="E5" s="133" t="s">
        <v>66</v>
      </c>
      <c r="F5" s="138" t="s">
        <v>509</v>
      </c>
      <c r="G5" s="134" t="s">
        <v>513</v>
      </c>
      <c r="I5" s="185" t="s">
        <v>494</v>
      </c>
      <c r="J5" s="186"/>
    </row>
    <row r="6" spans="1:10" x14ac:dyDescent="0.35">
      <c r="A6" s="128">
        <v>2021</v>
      </c>
      <c r="B6" s="132">
        <v>7867603</v>
      </c>
      <c r="C6" s="132">
        <v>9857627</v>
      </c>
      <c r="D6" s="132">
        <f>B6+C6</f>
        <v>17725230</v>
      </c>
      <c r="E6" s="136">
        <v>26440</v>
      </c>
      <c r="F6" s="140">
        <v>43809921</v>
      </c>
      <c r="G6" s="137">
        <f>E6+F6</f>
        <v>43836361</v>
      </c>
    </row>
    <row r="7" spans="1:10" x14ac:dyDescent="0.35">
      <c r="A7" s="128">
        <v>2022</v>
      </c>
      <c r="B7" s="129">
        <f>(B6*E7)/E6</f>
        <v>9149510.4782148264</v>
      </c>
      <c r="C7" s="129">
        <f t="shared" ref="C7" si="1">(C6*F7)/F6</f>
        <v>10291294.967391953</v>
      </c>
      <c r="D7" s="130">
        <f>B7+C7</f>
        <v>19440805.445606779</v>
      </c>
      <c r="E7" s="135">
        <v>30748</v>
      </c>
      <c r="F7" s="139">
        <v>45737257</v>
      </c>
      <c r="G7" s="135">
        <f>E7+F7</f>
        <v>45768005</v>
      </c>
    </row>
    <row r="9" spans="1:10" x14ac:dyDescent="0.35">
      <c r="A9" s="128" t="s">
        <v>508</v>
      </c>
      <c r="B9" s="129" t="s">
        <v>511</v>
      </c>
      <c r="C9" s="129" t="s">
        <v>510</v>
      </c>
      <c r="D9" s="131" t="s">
        <v>512</v>
      </c>
      <c r="E9" s="138" t="s">
        <v>66</v>
      </c>
      <c r="F9" s="138" t="s">
        <v>509</v>
      </c>
      <c r="G9" s="134" t="s">
        <v>513</v>
      </c>
      <c r="I9" s="185" t="s">
        <v>495</v>
      </c>
      <c r="J9" s="186"/>
    </row>
    <row r="10" spans="1:10" x14ac:dyDescent="0.35">
      <c r="A10" s="128">
        <v>2021</v>
      </c>
      <c r="B10" s="132">
        <v>3259360</v>
      </c>
      <c r="C10" s="132">
        <v>0</v>
      </c>
      <c r="D10" s="141">
        <f>B10+C10</f>
        <v>3259360</v>
      </c>
      <c r="E10" s="140">
        <v>5219233</v>
      </c>
      <c r="F10" s="142">
        <v>0</v>
      </c>
      <c r="G10" s="137">
        <f>E10+F10</f>
        <v>5219233</v>
      </c>
    </row>
    <row r="11" spans="1:10" x14ac:dyDescent="0.35">
      <c r="A11" s="128">
        <v>2022</v>
      </c>
      <c r="B11" s="129">
        <f>(B10*E11)/E10</f>
        <v>3948711.6552489609</v>
      </c>
      <c r="C11" s="129">
        <v>0</v>
      </c>
      <c r="D11" s="130">
        <f>B11+C11</f>
        <v>3948711.6552489609</v>
      </c>
      <c r="E11" s="143">
        <v>6323096</v>
      </c>
      <c r="F11" s="139">
        <v>0</v>
      </c>
      <c r="G11" s="135">
        <f>E11+F11</f>
        <v>6323096</v>
      </c>
    </row>
  </sheetData>
  <mergeCells count="3">
    <mergeCell ref="I9:J9"/>
    <mergeCell ref="I1:J1"/>
    <mergeCell ref="I5:J5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213AD-B4FB-44CC-93EB-2FEBFB149BBE}">
  <dimension ref="A1:K40"/>
  <sheetViews>
    <sheetView tabSelected="1" topLeftCell="A33" zoomScale="70" zoomScaleNormal="70" workbookViewId="0">
      <selection activeCell="I25" sqref="I25"/>
    </sheetView>
  </sheetViews>
  <sheetFormatPr defaultRowHeight="14.5" x14ac:dyDescent="0.35"/>
  <cols>
    <col min="1" max="1" width="20.54296875" customWidth="1"/>
    <col min="2" max="2" width="48.1796875" customWidth="1"/>
    <col min="8" max="8" width="22.81640625" customWidth="1"/>
    <col min="9" max="9" width="35.453125" customWidth="1"/>
  </cols>
  <sheetData>
    <row r="1" spans="1:11" ht="15" thickBot="1" x14ac:dyDescent="0.4">
      <c r="A1" s="189" t="s">
        <v>407</v>
      </c>
      <c r="B1" s="190"/>
      <c r="C1" s="65"/>
      <c r="D1" t="s">
        <v>235</v>
      </c>
    </row>
    <row r="2" spans="1:11" ht="15" thickBot="1" x14ac:dyDescent="0.4">
      <c r="A2" s="66" t="s">
        <v>408</v>
      </c>
      <c r="B2" s="67">
        <v>13.8</v>
      </c>
      <c r="C2" s="68" t="s">
        <v>409</v>
      </c>
      <c r="H2" s="187" t="s">
        <v>410</v>
      </c>
      <c r="I2" s="188"/>
    </row>
    <row r="3" spans="1:11" x14ac:dyDescent="0.35">
      <c r="A3" s="66" t="s">
        <v>411</v>
      </c>
      <c r="B3" s="67">
        <v>5</v>
      </c>
      <c r="C3" s="67" t="s">
        <v>412</v>
      </c>
      <c r="H3" s="33" t="s">
        <v>413</v>
      </c>
      <c r="I3" s="79" t="s">
        <v>414</v>
      </c>
      <c r="J3" s="3" t="s">
        <v>415</v>
      </c>
    </row>
    <row r="4" spans="1:11" x14ac:dyDescent="0.35">
      <c r="A4" s="66" t="s">
        <v>416</v>
      </c>
      <c r="B4" s="67">
        <v>256</v>
      </c>
      <c r="C4" s="67" t="s">
        <v>417</v>
      </c>
      <c r="H4" s="33" t="s">
        <v>418</v>
      </c>
      <c r="I4" s="79">
        <v>110</v>
      </c>
      <c r="J4" s="14" t="s">
        <v>419</v>
      </c>
    </row>
    <row r="5" spans="1:11" x14ac:dyDescent="0.35">
      <c r="A5" s="66" t="s">
        <v>420</v>
      </c>
      <c r="B5" s="67">
        <v>50</v>
      </c>
      <c r="C5" s="67" t="s">
        <v>421</v>
      </c>
      <c r="H5" s="33" t="s">
        <v>422</v>
      </c>
      <c r="I5" s="79" t="s">
        <v>423</v>
      </c>
      <c r="J5" s="14" t="s">
        <v>231</v>
      </c>
    </row>
    <row r="6" spans="1:11" x14ac:dyDescent="0.35">
      <c r="A6" s="66" t="s">
        <v>424</v>
      </c>
      <c r="B6" s="67" t="s">
        <v>425</v>
      </c>
      <c r="C6" s="67" t="s">
        <v>421</v>
      </c>
      <c r="H6" s="33" t="s">
        <v>426</v>
      </c>
      <c r="I6" s="79">
        <v>20</v>
      </c>
      <c r="J6" s="14" t="s">
        <v>427</v>
      </c>
    </row>
    <row r="7" spans="1:11" ht="15" thickBot="1" x14ac:dyDescent="0.4">
      <c r="A7" s="66" t="s">
        <v>428</v>
      </c>
      <c r="B7" s="67" t="s">
        <v>429</v>
      </c>
      <c r="C7" s="67" t="s">
        <v>417</v>
      </c>
      <c r="H7" s="35" t="s">
        <v>430</v>
      </c>
      <c r="I7" s="80">
        <v>10000</v>
      </c>
      <c r="J7" s="16"/>
    </row>
    <row r="8" spans="1:11" ht="15" thickBot="1" x14ac:dyDescent="0.4">
      <c r="A8" s="66" t="s">
        <v>431</v>
      </c>
      <c r="B8" s="67">
        <v>205</v>
      </c>
      <c r="C8" s="67" t="s">
        <v>432</v>
      </c>
    </row>
    <row r="9" spans="1:11" ht="15" thickBot="1" x14ac:dyDescent="0.4">
      <c r="A9" s="66" t="s">
        <v>433</v>
      </c>
      <c r="B9" s="67" t="s">
        <v>434</v>
      </c>
      <c r="C9" s="67" t="s">
        <v>435</v>
      </c>
      <c r="H9" s="181" t="s">
        <v>436</v>
      </c>
      <c r="I9" s="183"/>
      <c r="K9" t="s">
        <v>437</v>
      </c>
    </row>
    <row r="10" spans="1:11" x14ac:dyDescent="0.35">
      <c r="A10" s="66" t="s">
        <v>438</v>
      </c>
      <c r="B10" s="67">
        <v>-60</v>
      </c>
      <c r="C10" s="67" t="s">
        <v>415</v>
      </c>
      <c r="H10" s="31" t="s">
        <v>439</v>
      </c>
      <c r="I10" s="76" t="s">
        <v>440</v>
      </c>
      <c r="J10" s="3" t="s">
        <v>441</v>
      </c>
    </row>
    <row r="11" spans="1:11" ht="15" thickBot="1" x14ac:dyDescent="0.4">
      <c r="A11" s="69" t="s">
        <v>442</v>
      </c>
      <c r="B11" s="70" t="s">
        <v>443</v>
      </c>
      <c r="C11" s="70" t="s">
        <v>444</v>
      </c>
      <c r="H11" s="33" t="s">
        <v>445</v>
      </c>
      <c r="I11" s="77">
        <v>120.88</v>
      </c>
      <c r="J11" s="14" t="s">
        <v>446</v>
      </c>
    </row>
    <row r="12" spans="1:11" ht="15" thickBot="1" x14ac:dyDescent="0.4">
      <c r="A12" s="65"/>
      <c r="B12" s="65"/>
      <c r="C12" s="65"/>
      <c r="H12" s="33" t="s">
        <v>447</v>
      </c>
      <c r="I12" s="77" t="s">
        <v>448</v>
      </c>
      <c r="J12" s="14" t="s">
        <v>415</v>
      </c>
    </row>
    <row r="13" spans="1:11" ht="15" thickBot="1" x14ac:dyDescent="0.4">
      <c r="A13" s="191" t="s">
        <v>449</v>
      </c>
      <c r="B13" s="190"/>
      <c r="C13" s="65"/>
      <c r="D13" t="s">
        <v>252</v>
      </c>
      <c r="H13" s="33" t="s">
        <v>450</v>
      </c>
      <c r="I13" s="77" t="s">
        <v>451</v>
      </c>
      <c r="J13" s="14" t="s">
        <v>452</v>
      </c>
    </row>
    <row r="14" spans="1:11" x14ac:dyDescent="0.35">
      <c r="A14" s="71" t="s">
        <v>408</v>
      </c>
      <c r="B14" s="66">
        <v>2.56</v>
      </c>
      <c r="C14" s="68" t="s">
        <v>409</v>
      </c>
      <c r="H14" s="33" t="s">
        <v>453</v>
      </c>
      <c r="I14" s="77" t="s">
        <v>454</v>
      </c>
      <c r="J14" s="14" t="s">
        <v>455</v>
      </c>
    </row>
    <row r="15" spans="1:11" ht="15" thickBot="1" x14ac:dyDescent="0.4">
      <c r="A15" s="71" t="s">
        <v>411</v>
      </c>
      <c r="B15" s="66">
        <v>1</v>
      </c>
      <c r="C15" s="67" t="s">
        <v>412</v>
      </c>
      <c r="H15" s="35" t="s">
        <v>456</v>
      </c>
      <c r="I15" s="78" t="s">
        <v>457</v>
      </c>
      <c r="J15" s="16" t="s">
        <v>458</v>
      </c>
    </row>
    <row r="16" spans="1:11" x14ac:dyDescent="0.35">
      <c r="A16" s="71" t="s">
        <v>416</v>
      </c>
      <c r="B16" s="66" t="s">
        <v>459</v>
      </c>
      <c r="C16" s="67" t="s">
        <v>417</v>
      </c>
    </row>
    <row r="17" spans="1:9" x14ac:dyDescent="0.35">
      <c r="A17" s="71" t="s">
        <v>420</v>
      </c>
      <c r="B17" s="66">
        <v>70</v>
      </c>
      <c r="C17" s="67" t="s">
        <v>421</v>
      </c>
      <c r="H17" t="s">
        <v>460</v>
      </c>
      <c r="I17" s="28" t="s">
        <v>461</v>
      </c>
    </row>
    <row r="18" spans="1:9" x14ac:dyDescent="0.35">
      <c r="A18" s="71" t="s">
        <v>424</v>
      </c>
      <c r="B18" s="66" t="s">
        <v>462</v>
      </c>
      <c r="C18" s="67" t="s">
        <v>421</v>
      </c>
    </row>
    <row r="19" spans="1:9" ht="15" thickBot="1" x14ac:dyDescent="0.4">
      <c r="A19" s="71" t="s">
        <v>428</v>
      </c>
      <c r="B19" s="66" t="s">
        <v>463</v>
      </c>
      <c r="C19" s="67" t="s">
        <v>417</v>
      </c>
    </row>
    <row r="20" spans="1:9" ht="15" thickBot="1" x14ac:dyDescent="0.4">
      <c r="A20" s="71" t="s">
        <v>431</v>
      </c>
      <c r="B20" s="66">
        <v>31</v>
      </c>
      <c r="C20" s="67" t="s">
        <v>432</v>
      </c>
      <c r="H20" s="181" t="s">
        <v>464</v>
      </c>
      <c r="I20" s="188"/>
    </row>
    <row r="21" spans="1:9" x14ac:dyDescent="0.35">
      <c r="A21" s="71" t="s">
        <v>433</v>
      </c>
      <c r="B21" s="66" t="s">
        <v>465</v>
      </c>
      <c r="C21" s="67" t="s">
        <v>435</v>
      </c>
      <c r="H21" s="76" t="s">
        <v>466</v>
      </c>
      <c r="I21" s="75">
        <v>9</v>
      </c>
    </row>
    <row r="22" spans="1:9" x14ac:dyDescent="0.35">
      <c r="A22" s="71" t="s">
        <v>438</v>
      </c>
      <c r="B22" s="73" t="s">
        <v>467</v>
      </c>
      <c r="C22" s="67" t="s">
        <v>415</v>
      </c>
      <c r="H22" s="77" t="s">
        <v>468</v>
      </c>
      <c r="I22" s="37">
        <v>-33</v>
      </c>
    </row>
    <row r="23" spans="1:9" ht="15" thickBot="1" x14ac:dyDescent="0.4">
      <c r="A23" s="72" t="s">
        <v>469</v>
      </c>
      <c r="B23" s="69" t="s">
        <v>470</v>
      </c>
      <c r="C23" s="70" t="s">
        <v>444</v>
      </c>
      <c r="H23" s="77" t="s">
        <v>471</v>
      </c>
      <c r="I23" s="37">
        <v>4.3</v>
      </c>
    </row>
    <row r="24" spans="1:9" ht="15" thickBot="1" x14ac:dyDescent="0.4">
      <c r="A24" s="65"/>
      <c r="B24" s="65"/>
      <c r="C24" s="65"/>
      <c r="H24" s="78" t="s">
        <v>472</v>
      </c>
      <c r="I24" s="82" t="s">
        <v>473</v>
      </c>
    </row>
    <row r="25" spans="1:9" ht="15" thickBot="1" x14ac:dyDescent="0.4">
      <c r="A25" s="191" t="s">
        <v>474</v>
      </c>
      <c r="B25" s="190"/>
      <c r="C25" s="65"/>
      <c r="D25" t="s">
        <v>253</v>
      </c>
      <c r="H25" t="s">
        <v>460</v>
      </c>
      <c r="I25" s="30" t="s">
        <v>475</v>
      </c>
    </row>
    <row r="26" spans="1:9" x14ac:dyDescent="0.35">
      <c r="A26" s="71" t="s">
        <v>408</v>
      </c>
      <c r="B26" s="66">
        <v>1.28</v>
      </c>
      <c r="C26" s="68" t="s">
        <v>409</v>
      </c>
      <c r="I26" s="30"/>
    </row>
    <row r="27" spans="1:9" ht="15" thickBot="1" x14ac:dyDescent="0.4">
      <c r="A27" s="71" t="s">
        <v>411</v>
      </c>
      <c r="B27" s="66">
        <v>1</v>
      </c>
      <c r="C27" s="67" t="s">
        <v>412</v>
      </c>
      <c r="I27" s="30"/>
    </row>
    <row r="28" spans="1:9" ht="15" thickBot="1" x14ac:dyDescent="0.4">
      <c r="A28" s="71" t="s">
        <v>416</v>
      </c>
      <c r="B28" s="66" t="s">
        <v>476</v>
      </c>
      <c r="C28" s="67" t="s">
        <v>417</v>
      </c>
      <c r="H28" s="187" t="s">
        <v>477</v>
      </c>
      <c r="I28" s="188"/>
    </row>
    <row r="29" spans="1:9" x14ac:dyDescent="0.35">
      <c r="A29" s="71" t="s">
        <v>420</v>
      </c>
      <c r="B29" s="66">
        <v>50</v>
      </c>
      <c r="C29" s="67" t="s">
        <v>421</v>
      </c>
      <c r="H29" t="s">
        <v>478</v>
      </c>
      <c r="I29" s="83" t="s">
        <v>479</v>
      </c>
    </row>
    <row r="30" spans="1:9" x14ac:dyDescent="0.35">
      <c r="A30" s="71" t="s">
        <v>424</v>
      </c>
      <c r="B30" s="66" t="s">
        <v>462</v>
      </c>
      <c r="C30" s="67" t="s">
        <v>421</v>
      </c>
      <c r="I30" s="30"/>
    </row>
    <row r="31" spans="1:9" x14ac:dyDescent="0.35">
      <c r="A31" s="71" t="s">
        <v>428</v>
      </c>
      <c r="B31" s="66" t="s">
        <v>480</v>
      </c>
      <c r="C31" s="67" t="s">
        <v>417</v>
      </c>
      <c r="H31" t="s">
        <v>460</v>
      </c>
      <c r="I31" s="85" t="s">
        <v>481</v>
      </c>
    </row>
    <row r="32" spans="1:9" x14ac:dyDescent="0.35">
      <c r="A32" s="71" t="s">
        <v>431</v>
      </c>
      <c r="B32" s="66">
        <v>14</v>
      </c>
      <c r="C32" s="67" t="s">
        <v>432</v>
      </c>
      <c r="I32" s="30"/>
    </row>
    <row r="33" spans="1:9" x14ac:dyDescent="0.35">
      <c r="A33" s="71" t="s">
        <v>433</v>
      </c>
      <c r="B33" s="66" t="s">
        <v>482</v>
      </c>
      <c r="C33" s="67" t="s">
        <v>435</v>
      </c>
      <c r="I33" s="30"/>
    </row>
    <row r="34" spans="1:9" x14ac:dyDescent="0.35">
      <c r="A34" s="71" t="s">
        <v>438</v>
      </c>
      <c r="B34" s="73" t="s">
        <v>467</v>
      </c>
      <c r="C34" s="67" t="s">
        <v>415</v>
      </c>
      <c r="I34" s="30"/>
    </row>
    <row r="35" spans="1:9" x14ac:dyDescent="0.35">
      <c r="A35" s="72" t="s">
        <v>469</v>
      </c>
      <c r="B35" s="69" t="s">
        <v>470</v>
      </c>
      <c r="C35" s="70" t="s">
        <v>444</v>
      </c>
      <c r="I35" s="30"/>
    </row>
    <row r="36" spans="1:9" x14ac:dyDescent="0.35">
      <c r="A36" s="65"/>
      <c r="B36" s="65"/>
      <c r="C36" s="65"/>
      <c r="I36" s="30"/>
    </row>
    <row r="37" spans="1:9" x14ac:dyDescent="0.35">
      <c r="A37" s="65" t="s">
        <v>483</v>
      </c>
      <c r="B37" s="28" t="s">
        <v>484</v>
      </c>
      <c r="C37" s="65"/>
      <c r="I37" s="30"/>
    </row>
    <row r="38" spans="1:9" x14ac:dyDescent="0.35">
      <c r="I38" s="30"/>
    </row>
    <row r="39" spans="1:9" x14ac:dyDescent="0.35">
      <c r="I39" s="30"/>
    </row>
    <row r="40" spans="1:9" x14ac:dyDescent="0.35">
      <c r="I40" s="30"/>
    </row>
  </sheetData>
  <mergeCells count="7">
    <mergeCell ref="H28:I28"/>
    <mergeCell ref="A1:B1"/>
    <mergeCell ref="A13:B13"/>
    <mergeCell ref="A25:B25"/>
    <mergeCell ref="H2:I2"/>
    <mergeCell ref="H9:I9"/>
    <mergeCell ref="H20:I20"/>
  </mergeCells>
  <hyperlinks>
    <hyperlink ref="B37" r:id="rId1" xr:uid="{58F396DD-DAA3-4D59-8064-E7E4E579085A}"/>
    <hyperlink ref="I17" r:id="rId2" location=":~:text=The%20results%20showed%20that%20PCMs,30%20%24%2FkWh%20for%20comparable" xr:uid="{F0EF7347-4374-4F52-BE91-C9F0666901D8}"/>
    <hyperlink ref="I31" r:id="rId3" xr:uid="{C8474D7D-7744-45BD-8089-7658808CD070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89B5F-0C61-4B5D-B952-D7A68DAD8C10}">
  <dimension ref="A1:AG51"/>
  <sheetViews>
    <sheetView workbookViewId="0">
      <selection activeCell="AK46" sqref="AK46"/>
    </sheetView>
  </sheetViews>
  <sheetFormatPr defaultRowHeight="14.5" x14ac:dyDescent="0.35"/>
  <sheetData>
    <row r="1" spans="1:10" x14ac:dyDescent="0.35">
      <c r="A1" s="28" t="s">
        <v>197</v>
      </c>
      <c r="J1" t="s">
        <v>485</v>
      </c>
    </row>
    <row r="2" spans="1:10" x14ac:dyDescent="0.35">
      <c r="A2" s="28" t="s">
        <v>486</v>
      </c>
      <c r="J2" t="s">
        <v>487</v>
      </c>
    </row>
    <row r="3" spans="1:10" x14ac:dyDescent="0.35">
      <c r="A3" s="28" t="s">
        <v>488</v>
      </c>
      <c r="J3" t="s">
        <v>489</v>
      </c>
    </row>
    <row r="51" spans="30:33" x14ac:dyDescent="0.35">
      <c r="AD51" s="153" t="s">
        <v>207</v>
      </c>
      <c r="AE51" s="154"/>
      <c r="AF51" s="100">
        <v>11324.375</v>
      </c>
      <c r="AG51" s="27" t="s">
        <v>176</v>
      </c>
    </row>
  </sheetData>
  <mergeCells count="1">
    <mergeCell ref="AD51:AE51"/>
  </mergeCells>
  <hyperlinks>
    <hyperlink ref="A1" r:id="rId1" xr:uid="{FCFB5C97-BCB0-4A46-8592-583860B0D628}"/>
    <hyperlink ref="A2" r:id="rId2" xr:uid="{B55F4D96-555D-4F2E-BE4B-FFAA788A3C3C}"/>
    <hyperlink ref="A3" r:id="rId3" xr:uid="{DC91DD7D-F5E8-48EC-BE63-62E6A5B43E33}"/>
  </hyperlink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E F A A B Q S w M E F A A C A A g A W 7 N P V z u t 9 F 6 i A A A A 9 g A A A B I A H A B D b 2 5 m a W c v U G F j a 2 F n Z S 5 4 b W w g o h g A K K A U A A A A A A A A A A A A A A A A A A A A A A A A A A A A h Y + 9 D o I w G E V f h X S n f y 6 G f J T B V R I S j X F t S o V G K I Q W y 7 s 5 + E i + g h h F 3 R z v u W e 4 9 3 6 9 Q T a 1 T X T R g z O d T R H D F E X a q q 4 0 t k r R 6 E / x G m U C C q n O s t L R L F u X T K 5 M U e 1 9 n x A S Q s B h h b u h I p x S R o 7 5 d q d q 3 U r 0 k c 1 / O T b W e W m V R g I O r z G C Y 8 Y Z 5 p R j C m S B k B v 7 F e a e P t s f C J u x 8 e O g R e / j Y g 9 k i U D e H 8 Q D U E s D B B Q A A g A I A F u z T 1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b s 0 9 X E H k k W Q 0 C A A D v C g A A E w A c A E Z v c m 1 1 b G F z L 1 N l Y 3 R p b 2 4 x L m 0 g o h g A K K A U A A A A A A A A A A A A A A A A A A A A A A A A A A A A 7 V L d b t o w G L 1 H 4 h 2 s 9 A a k Y O W H n 7 A q F w g 6 b R f t u o Z t F 2 W y 3 O Q b t Z b Y y H Z a G O r T 7 K I P 0 h e b a a I C C l N F t V X V u t z E P p / 9 + X z n H A W x Z o K j q P i 7 h / V a v a Y u q Y Q E H V h H H O S U 0 d a p F E l + d 3 v 3 U 1 g o R C n o e g 2 Z L x K 5 j M E g Q 3 W F R y L O M + C 6 8 Z a l g I e C a 7 N R D W v 4 Z v J J g V S T G S R S T E b i m q e C J m p S b Y 5 j d W U 1 7 f M R p C x j G m R o 2 Z a N h i L N M 6 7 C j o 2 O e C w S x q d h t + M 4 r o 0 + 5 k J D p B c p h O s l P h E c v j b t g u S B Z R 7 I T C 1 B 7 4 A m h s l q h j G 9 M A f L S o k 3 i n l s d F 7 i g z S N Y p p S q U I t 8 8 2 W w 0 v K p 6 b j e D G D d b u x p F x 9 E z I r G K + K q r H j f X u 5 t D 5 I N o X M T K f N K a R h r m 9 s t L Q G X B j s P d f d N l 7 d v w e P Q Y 1 A x Z X D q 8 W F m J N j q i W b n 4 l r U m p 6 L + k P l t D K l X F x x f e 2 X 7 l p 1 m u M 7 5 x u O x G n n x O q K V F 5 l l G 5 I H 4 P B U 6 f t L w O a v d 8 E g 0 8 E s u F 0 h E j 7 v c v M + K 2 i d d D D T H T z Q S m x H 9 Y / s E c V S j h k h L e j 9 K O 9 B 1 u p M 9 7 Y v r 2 i E q Z P 5 O O A n U r 9 h W 4 t 4 X / B e 8 c 2 w u c l + f f 4 7 T + e 7 g h l t 9 + k R 4 + R u v V e R i g T u A Y s Q L U c 5 3 f i 9 V f i 9 X y n s P E A J e 8 8 B N 4 v T o X + 6 j t B 6 T l u 8 j t d y t q l W K Z 6 o N Y n e f w s I 9 L V n h v V v + i g 7 8 A U E s B A i 0 A F A A C A A g A W 7 N P V z u t 9 F 6 i A A A A 9 g A A A B I A A A A A A A A A A A A A A A A A A A A A A E N v b m Z p Z y 9 Q Y W N r Y W d l L n h t b F B L A Q I t A B Q A A g A I A F u z T 1 c P y u m r p A A A A O k A A A A T A A A A A A A A A A A A A A A A A O 4 A A A B b Q 2 9 u d G V u d F 9 U e X B l c 1 0 u e G 1 s U E s B A i 0 A F A A C A A g A W 7 N P V x B 5 J F k N A g A A 7 w o A A B M A A A A A A A A A A A A A A A A A 3 w E A A E Z v c m 1 1 b G F z L 1 N l Y 3 R p b 2 4 x L m 1 Q S w U G A A A A A A M A A w D C A A A A O Q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0 D c A A A A A A A C u N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X J n a W E t U H J v Z H U l Q z M l Q T c l Q z M l Q T N v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z M j A z I i A v P j x F b n R y e S B U e X B l P S J G a W x s R X J y b 3 J D b 2 R l I i B W Y W x 1 Z T 0 i c 1 V u a 2 5 v d 2 4 i I C 8 + P E V u d H J 5 I F R 5 c G U 9 I k Z p b G x F c n J v c k N v d W 5 0 I i B W Y W x 1 Z T 0 i b D Y 2 M D E i I C 8 + P E V u d H J 5 I F R 5 c G U 9 I k Z p b G x M Y X N 0 V X B k Y X R l Z C I g V m F s d W U 9 I m Q y M D I z L T E w L T A 3 V D E 3 O j I 4 O j U 3 L j A 1 N T U 2 N z h a I i A v P j x F b n R y e S B U e X B l P S J G a W x s Q 2 9 s d W 1 u V H l w Z X M i I F Z h b H V l P S J z Q m d N R 0 J n T T 0 i I C 8 + P E V u d H J 5 I F R 5 c G U 9 I k Z p b G x D b 2 x 1 b W 5 O Y W 1 l c y I g V m F s d W U 9 I n N b J n F 1 b 3 Q 7 T 3 J p Z 2 V t J n F 1 b 3 Q 7 L C Z x d W 9 0 O 0 F u b y Z x d W 9 0 O y w m c X V v d D t N Z X N E Z X N j J n F 1 b 3 Q 7 L C Z x d W 9 0 O 3 R l e H R i b 3 h f T W F 0 c m l 4 U m 9 3 X 0 V u Z X J n a W F Q c m 9 k d X p p Z G E m c X V v d D s s J n F 1 b 3 Q 7 V G V 4 d G J v e D M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W 5 l c m d p Y S 1 Q c m 9 k d c O n w 6 N v L 0 F 1 d G 9 S Z W 1 v d m V k Q 2 9 s d W 1 u c z E u e 0 9 y a W d l b S w w f S Z x d W 9 0 O y w m c X V v d D t T Z W N 0 a W 9 u M S 9 F b m V y Z 2 l h L V B y b 2 R 1 w 6 f D o 2 8 v Q X V 0 b 1 J l b W 9 2 Z W R D b 2 x 1 b W 5 z M S 5 7 Q W 5 v L D F 9 J n F 1 b 3 Q 7 L C Z x d W 9 0 O 1 N l Y 3 R p b 2 4 x L 0 V u Z X J n a W E t U H J v Z H X D p 8 O j b y 9 B d X R v U m V t b 3 Z l Z E N v b H V t b n M x L n t N Z X N E Z X N j L D J 9 J n F 1 b 3 Q 7 L C Z x d W 9 0 O 1 N l Y 3 R p b 2 4 x L 0 V u Z X J n a W E t U H J v Z H X D p 8 O j b y 9 B d X R v U m V t b 3 Z l Z E N v b H V t b n M x L n t 0 Z X h 0 Y m 9 4 X 0 1 h d H J p e F J v d 1 9 F b m V y Z 2 l h U H J v Z H V 6 a W R h L D N 9 J n F 1 b 3 Q 7 L C Z x d W 9 0 O 1 N l Y 3 R p b 2 4 x L 0 V u Z X J n a W E t U H J v Z H X D p 8 O j b y 9 B d X R v U m V t b 3 Z l Z E N v b H V t b n M x L n t U Z X h 0 Y m 9 4 M z I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R W 5 l c m d p Y S 1 Q c m 9 k d c O n w 6 N v L 0 F 1 d G 9 S Z W 1 v d m V k Q 2 9 s d W 1 u c z E u e 0 9 y a W d l b S w w f S Z x d W 9 0 O y w m c X V v d D t T Z W N 0 a W 9 u M S 9 F b m V y Z 2 l h L V B y b 2 R 1 w 6 f D o 2 8 v Q X V 0 b 1 J l b W 9 2 Z W R D b 2 x 1 b W 5 z M S 5 7 Q W 5 v L D F 9 J n F 1 b 3 Q 7 L C Z x d W 9 0 O 1 N l Y 3 R p b 2 4 x L 0 V u Z X J n a W E t U H J v Z H X D p 8 O j b y 9 B d X R v U m V t b 3 Z l Z E N v b H V t b n M x L n t N Z X N E Z X N j L D J 9 J n F 1 b 3 Q 7 L C Z x d W 9 0 O 1 N l Y 3 R p b 2 4 x L 0 V u Z X J n a W E t U H J v Z H X D p 8 O j b y 9 B d X R v U m V t b 3 Z l Z E N v b H V t b n M x L n t 0 Z X h 0 Y m 9 4 X 0 1 h d H J p e F J v d 1 9 F b m V y Z 2 l h U H J v Z H V 6 a W R h L D N 9 J n F 1 b 3 Q 7 L C Z x d W 9 0 O 1 N l Y 3 R p b 2 4 x L 0 V u Z X J n a W E t U H J v Z H X D p 8 O j b y 9 B d X R v U m V t b 3 Z l Z E N v b H V t b n M x L n t U Z X h 0 Y m 9 4 M z I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V u Z X J n a W E t U H J v Z H U l Q z M l Q T c l Q z M l Q T N v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X J n a W E t U H J v Z H U l Q z M l Q T c l Q z M l Q T N v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X J n a W E t U H J v Z H U l Q z M l Q T c l Q z M l Q T N v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F Z k Y X R h X 3 N 1 b W 1 h c n l f M z c l M j A 4 M D l f L T I 1 J T I w N D c z X 1 N B M l 9 j c n l z d F N p X z F r V 3 B f M T R f M j c l M j A o b 3 B 0 K W R l Z 1 8 z J T I w K G 9 w d C l k Z W c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j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A t M T R U M j E 6 N T U 6 M D I u M D A 0 N z I 5 N l o i I C 8 + P E V u d H J 5 I F R 5 c G U 9 I k Z p b G x D b 2 x 1 b W 5 U e X B l c y I g V m F s d W U 9 I n N C Z 1 k 9 I i A v P j x F b n R y e S B U e X B l P S J G a W x s Q 2 9 s d W 1 u T m F t Z X M i I F Z h b H V l P S J z W y Z x d W 9 0 O 0 N v b H V t b j E m c X V v d D s s J n F 1 b 3 Q 7 Q 2 9 s d W 1 u M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W Z G F 0 Y V 9 z d W 1 t Y X J 5 X z M 3 I D g w O V 8 t M j U g N D c z X 1 N B M l 9 j c n l z d F N p X z F r V 3 B f M T R f M j c g K G 9 w d C l k Z W d f M y A o b 3 B 0 K W R l Z y 9 B d X R v U m V t b 3 Z l Z E N v b H V t b n M x L n t D b 2 x 1 b W 4 x L D B 9 J n F 1 b 3 Q 7 L C Z x d W 9 0 O 1 N l Y 3 R p b 2 4 x L 1 B W Z G F 0 Y V 9 z d W 1 t Y X J 5 X z M 3 I D g w O V 8 t M j U g N D c z X 1 N B M l 9 j c n l z d F N p X z F r V 3 B f M T R f M j c g K G 9 w d C l k Z W d f M y A o b 3 B 0 K W R l Z y 9 B d X R v U m V t b 3 Z l Z E N v b H V t b n M x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W Z G F 0 Y V 9 z d W 1 t Y X J 5 X z M 3 I D g w O V 8 t M j U g N D c z X 1 N B M l 9 j c n l z d F N p X z F r V 3 B f M T R f M j c g K G 9 w d C l k Z W d f M y A o b 3 B 0 K W R l Z y 9 B d X R v U m V t b 3 Z l Z E N v b H V t b n M x L n t D b 2 x 1 b W 4 x L D B 9 J n F 1 b 3 Q 7 L C Z x d W 9 0 O 1 N l Y 3 R p b 2 4 x L 1 B W Z G F 0 Y V 9 z d W 1 t Y X J 5 X z M 3 I D g w O V 8 t M j U g N D c z X 1 N B M l 9 j c n l z d F N p X z F r V 3 B f M T R f M j c g K G 9 w d C l k Z W d f M y A o b 3 B 0 K W R l Z y 9 B d X R v U m V t b 3 Z l Z E N v b H V t b n M x L n t D b 2 x 1 b W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V m R h d G F f c 3 V t b W F y e V 8 z N y U y M D g w O V 8 t M j U l M j A 0 N z N f U 0 E y X 2 N y e X N 0 U 2 l f M W t X c F 8 x N F 8 y N y U y M C h v c H Q p Z G V n X z M l M j A o b 3 B 0 K W R l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V m R h d G F f c 3 V t b W F y e V 8 z N y U y M D g w O V 8 t M j U l M j A 0 N z N f U 0 E y X 2 N y e X N 0 U 2 l f M W t X c F 8 x N F 8 y N y U y M C h v c H Q p Z G V n X z M l M j A o b 3 B 0 K W R l Z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W Z G F 0 Y V 9 z d W 1 t Y X J 5 X z M 3 J T I w O D A 5 X y 0 y N S U y M D Q 3 M 1 9 T Q T J f Y 3 J 5 c 3 R T a V 8 w J T J D M j g w a 1 d w X z E 0 X z I 3 J T I w K G 9 w d C l k Z W d f M y U y M C h v c H Q p Z G V n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w L T E 0 V D I z O j M 4 O j Q 5 L j g w M j k 4 N z J a I i A v P j x F b n R y e S B U e X B l P S J G a W x s Q 2 9 s d W 1 u V H l w Z X M i I F Z h b H V l P S J z Q m d Z P S I g L z 4 8 R W 5 0 c n k g V H l w Z T 0 i R m l s b E N v b H V t b k 5 h b W V z I i B W Y W x 1 Z T 0 i c 1 s m c X V v d D t D b 2 x 1 b W 4 x J n F 1 b 3 Q 7 L C Z x d W 9 0 O 0 N v b H V t b j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V m R h d G F f c 3 V t b W F y e V 8 z N y A 4 M D l f L T I 1 I D Q 3 M 1 9 T Q T J f Y 3 J 5 c 3 R T a V 8 w L D I 4 M G t X c F 8 x N F 8 y N y A o b 3 B 0 K W R l Z 1 8 z I C h v c H Q p Z G V n L 0 F 1 d G 9 S Z W 1 v d m V k Q 2 9 s d W 1 u c z E u e 0 N v b H V t b j E s M H 0 m c X V v d D s s J n F 1 b 3 Q 7 U 2 V j d G l v b j E v U F Z k Y X R h X 3 N 1 b W 1 h c n l f M z c g O D A 5 X y 0 y N S A 0 N z N f U 0 E y X 2 N y e X N 0 U 2 l f M C w y O D B r V 3 B f M T R f M j c g K G 9 w d C l k Z W d f M y A o b 3 B 0 K W R l Z y 9 B d X R v U m V t b 3 Z l Z E N v b H V t b n M x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B W Z G F 0 Y V 9 z d W 1 t Y X J 5 X z M 3 I D g w O V 8 t M j U g N D c z X 1 N B M l 9 j c n l z d F N p X z A s M j g w a 1 d w X z E 0 X z I 3 I C h v c H Q p Z G V n X z M g K G 9 w d C l k Z W c v Q X V 0 b 1 J l b W 9 2 Z W R D b 2 x 1 b W 5 z M S 5 7 Q 2 9 s d W 1 u M S w w f S Z x d W 9 0 O y w m c X V v d D t T Z W N 0 a W 9 u M S 9 Q V m R h d G F f c 3 V t b W F y e V 8 z N y A 4 M D l f L T I 1 I D Q 3 M 1 9 T Q T J f Y 3 J 5 c 3 R T a V 8 w L D I 4 M G t X c F 8 x N F 8 y N y A o b 3 B 0 K W R l Z 1 8 z I C h v c H Q p Z G V n L 0 F 1 d G 9 S Z W 1 v d m V k Q 2 9 s d W 1 u c z E u e 0 N v b H V t b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W Z G F 0 Y V 9 z d W 1 t Y X J 5 X z M 3 J T I w O D A 5 X y 0 y N S U y M D Q 3 M 1 9 T Q T J f Y 3 J 5 c 3 R T a V 8 w J T J D M j g w a 1 d w X z E 0 X z I 3 J T I w K G 9 w d C l k Z W d f M y U y M C h v c H Q p Z G V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W Z G F 0 Y V 9 z d W 1 t Y X J 5 X z M 3 J T I w O D A 5 X y 0 y N S U y M D Q 3 M 1 9 T Q T J f Y 3 J 5 c 3 R T a V 8 w J T J D M j g w a 1 d w X z E 0 X z I 3 J T I w K G 9 w d C l k Z W d f M y U y M C h v c H Q p Z G V n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F Z k Y X R h X 3 N 1 b W 1 h c n l f M z c l M j A 4 M D l f L T I 1 J T I w N D c z X 1 N B M l 9 j c n l z d F N p X z A l M k M z N D B r V 3 B f M T R f M j c l M j A o b 3 B 0 K W R l Z 1 8 z J T I w K G 9 w d C l k Z W c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C 0 x N V Q x O D o 0 N D o y O C 4 1 N z I 3 N T I w W i I g L z 4 8 R W 5 0 c n k g V H l w Z T 0 i R m l s b E N v b H V t b l R 5 c G V z I i B W Y W x 1 Z T 0 i c 0 J n W T 0 i I C 8 + P E V u d H J 5 I F R 5 c G U 9 I k Z p b G x D b 2 x 1 b W 5 O Y W 1 l c y I g V m F s d W U 9 I n N b J n F 1 b 3 Q 7 Q 2 9 s d W 1 u M S Z x d W 9 0 O y w m c X V v d D t D b 2 x 1 b W 4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F Z k Y X R h X 3 N 1 b W 1 h c n l f M z c g O D A 5 X y 0 y N S A 0 N z N f U 0 E y X 2 N y e X N 0 U 2 l f M C w z N D B r V 3 B f M T R f M j c g K G 9 w d C l k Z W d f M y A o b 3 B 0 K W R l Z y 9 B d X R v U m V t b 3 Z l Z E N v b H V t b n M x L n t D b 2 x 1 b W 4 x L D B 9 J n F 1 b 3 Q 7 L C Z x d W 9 0 O 1 N l Y 3 R p b 2 4 x L 1 B W Z G F 0 Y V 9 z d W 1 t Y X J 5 X z M 3 I D g w O V 8 t M j U g N D c z X 1 N B M l 9 j c n l z d F N p X z A s M z Q w a 1 d w X z E 0 X z I 3 I C h v c H Q p Z G V n X z M g K G 9 w d C l k Z W c v Q X V 0 b 1 J l b W 9 2 Z W R D b 2 x 1 b W 5 z M S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V m R h d G F f c 3 V t b W F y e V 8 z N y A 4 M D l f L T I 1 I D Q 3 M 1 9 T Q T J f Y 3 J 5 c 3 R T a V 8 w L D M 0 M G t X c F 8 x N F 8 y N y A o b 3 B 0 K W R l Z 1 8 z I C h v c H Q p Z G V n L 0 F 1 d G 9 S Z W 1 v d m V k Q 2 9 s d W 1 u c z E u e 0 N v b H V t b j E s M H 0 m c X V v d D s s J n F 1 b 3 Q 7 U 2 V j d G l v b j E v U F Z k Y X R h X 3 N 1 b W 1 h c n l f M z c g O D A 5 X y 0 y N S A 0 N z N f U 0 E y X 2 N y e X N 0 U 2 l f M C w z N D B r V 3 B f M T R f M j c g K G 9 w d C l k Z W d f M y A o b 3 B 0 K W R l Z y 9 B d X R v U m V t b 3 Z l Z E N v b H V t b n M x L n t D b 2 x 1 b W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V m R h d G F f c 3 V t b W F y e V 8 z N y U y M D g w O V 8 t M j U l M j A 0 N z N f U 0 E y X 2 N y e X N 0 U 2 l f M C U y Q z M 0 M G t X c F 8 x N F 8 y N y U y M C h v c H Q p Z G V n X z M l M j A o b 3 B 0 K W R l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V m R h d G F f c 3 V t b W F y e V 8 z N y U y M D g w O V 8 t M j U l M j A 0 N z N f U 0 E y X 2 N y e X N 0 U 2 l f M C U y Q z M 0 M G t X c F 8 x N F 8 y N y U y M C h v c H Q p Z G V n X z M l M j A o b 3 B 0 K W R l Z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W Z G F 0 Y V 9 z d W 1 t Y X J 5 X z M 4 J T I w N T g w X y 0 y O C U y M D c x M F 9 T Q T J f Y 3 J 5 c 3 R T a V 8 w J T J D M z Q w a 1 d w X z E 0 X z I 5 J T I w K G 9 w d C l k Z W d f L T I l M j A o b 3 B 0 K W R l Z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w L T E 1 V D I x O j E w O j A y L j I 0 N z A 4 M T V a I i A v P j x F b n R y e S B U e X B l P S J G a W x s Q 2 9 s d W 1 u V H l w Z X M i I F Z h b H V l P S J z Q m d Z P S I g L z 4 8 R W 5 0 c n k g V H l w Z T 0 i R m l s b E N v b H V t b k 5 h b W V z I i B W Y W x 1 Z T 0 i c 1 s m c X V v d D t D b 2 x 1 b W 4 x J n F 1 b 3 Q 7 L C Z x d W 9 0 O 0 N v b H V t b j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V m R h d G F f c 3 V t b W F y e V 8 z O C A 1 O D B f L T I 4 I D c x M F 9 T Q T J f Y 3 J 5 c 3 R T a V 8 w L D M 0 M G t X c F 8 x N F 8 y O S A o b 3 B 0 K W R l Z 1 8 t M i A o b 3 B 0 K W R l Z y 9 B d X R v U m V t b 3 Z l Z E N v b H V t b n M x L n t D b 2 x 1 b W 4 x L D B 9 J n F 1 b 3 Q 7 L C Z x d W 9 0 O 1 N l Y 3 R p b 2 4 x L 1 B W Z G F 0 Y V 9 z d W 1 t Y X J 5 X z M 4 I D U 4 M F 8 t M j g g N z E w X 1 N B M l 9 j c n l z d F N p X z A s M z Q w a 1 d w X z E 0 X z I 5 I C h v c H Q p Z G V n X y 0 y I C h v c H Q p Z G V n L 0 F 1 d G 9 S Z W 1 v d m V k Q 2 9 s d W 1 u c z E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F Z k Y X R h X 3 N 1 b W 1 h c n l f M z g g N T g w X y 0 y O C A 3 M T B f U 0 E y X 2 N y e X N 0 U 2 l f M C w z N D B r V 3 B f M T R f M j k g K G 9 w d C l k Z W d f L T I g K G 9 w d C l k Z W c v Q X V 0 b 1 J l b W 9 2 Z W R D b 2 x 1 b W 5 z M S 5 7 Q 2 9 s d W 1 u M S w w f S Z x d W 9 0 O y w m c X V v d D t T Z W N 0 a W 9 u M S 9 Q V m R h d G F f c 3 V t b W F y e V 8 z O C A 1 O D B f L T I 4 I D c x M F 9 T Q T J f Y 3 J 5 c 3 R T a V 8 w L D M 0 M G t X c F 8 x N F 8 y O S A o b 3 B 0 K W R l Z 1 8 t M i A o b 3 B 0 K W R l Z y 9 B d X R v U m V t b 3 Z l Z E N v b H V t b n M x L n t D b 2 x 1 b W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V m R h d G F f c 3 V t b W F y e V 8 z O C U y M D U 4 M F 8 t M j g l M j A 3 M T B f U 0 E y X 2 N y e X N 0 U 2 l f M C U y Q z M 0 M G t X c F 8 x N F 8 y O S U y M C h v c H Q p Z G V n X y 0 y J T I w K G 9 w d C l k Z W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F Z k Y X R h X 3 N 1 b W 1 h c n l f M z g l M j A 1 O D B f L T I 4 J T I w N z E w X 1 N B M l 9 j c n l z d F N p X z A l M k M z N D B r V 3 B f M T R f M j k l M j A o b 3 B 0 K W R l Z 1 8 t M i U y M C h v c H Q p Z G V n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F Z k Y X R h X 3 N 1 b W 1 h c n l f M z k l M j A 0 M z h f L T M x J T I w M T k 2 X 1 N B M l 9 j c n l z d F N p X z A l M k M z N G t X c F 8 x N F 8 z M S U y M C h v c H Q p Z G V n X z U l M j A o b 3 B 0 K W R l Z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w L T E 1 V D I x O j I 2 O j I z L j c 0 M j k w M T F a I i A v P j x F b n R y e S B U e X B l P S J G a W x s Q 2 9 s d W 1 u V H l w Z X M i I F Z h b H V l P S J z Q m d Z P S I g L z 4 8 R W 5 0 c n k g V H l w Z T 0 i R m l s b E N v b H V t b k 5 h b W V z I i B W Y W x 1 Z T 0 i c 1 s m c X V v d D t D b 2 x 1 b W 4 x J n F 1 b 3 Q 7 L C Z x d W 9 0 O 0 N v b H V t b j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V m R h d G F f c 3 V t b W F y e V 8 z O S A 0 M z h f L T M x I D E 5 N l 9 T Q T J f Y 3 J 5 c 3 R T a V 8 w L D M 0 a 1 d w X z E 0 X z M x I C h v c H Q p Z G V n X z U g K G 9 w d C l k Z W c v Q X V 0 b 1 J l b W 9 2 Z W R D b 2 x 1 b W 5 z M S 5 7 Q 2 9 s d W 1 u M S w w f S Z x d W 9 0 O y w m c X V v d D t T Z W N 0 a W 9 u M S 9 Q V m R h d G F f c 3 V t b W F y e V 8 z O S A 0 M z h f L T M x I D E 5 N l 9 T Q T J f Y 3 J 5 c 3 R T a V 8 w L D M 0 a 1 d w X z E 0 X z M x I C h v c H Q p Z G V n X z U g K G 9 w d C l k Z W c v Q X V 0 b 1 J l b W 9 2 Z W R D b 2 x 1 b W 5 z M S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Q V m R h d G F f c 3 V t b W F y e V 8 z O S A 0 M z h f L T M x I D E 5 N l 9 T Q T J f Y 3 J 5 c 3 R T a V 8 w L D M 0 a 1 d w X z E 0 X z M x I C h v c H Q p Z G V n X z U g K G 9 w d C l k Z W c v Q X V 0 b 1 J l b W 9 2 Z W R D b 2 x 1 b W 5 z M S 5 7 Q 2 9 s d W 1 u M S w w f S Z x d W 9 0 O y w m c X V v d D t T Z W N 0 a W 9 u M S 9 Q V m R h d G F f c 3 V t b W F y e V 8 z O S A 0 M z h f L T M x I D E 5 N l 9 T Q T J f Y 3 J 5 c 3 R T a V 8 w L D M 0 a 1 d w X z E 0 X z M x I C h v c H Q p Z G V n X z U g K G 9 w d C l k Z W c v Q X V 0 b 1 J l b W 9 2 Z W R D b 2 x 1 b W 5 z M S 5 7 Q 2 9 s d W 1 u M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F Z k Y X R h X 3 N 1 b W 1 h c n l f M z k l M j A 0 M z h f L T M x J T I w M T k 2 X 1 N B M l 9 j c n l z d F N p X z A l M k M z N G t X c F 8 x N F 8 z M S U y M C h v c H Q p Z G V n X z U l M j A o b 3 B 0 K W R l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V m R h d G F f c 3 V t b W F y e V 8 z O S U y M D Q z O F 8 t M z E l M j A x O T Z f U 0 E y X 2 N y e X N 0 U 2 l f M C U y Q z M 0 a 1 d w X z E 0 X z M x J T I w K G 9 w d C l k Z W d f N S U y M C h v c H Q p Z G V n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t A d + F 0 V b 5 F j 6 F q g 8 m C x t I A A A A A A g A A A A A A E G Y A A A A B A A A g A A A A k 6 Q 9 n N 4 M 2 S j a y / 5 N 4 Z / 6 C 0 b 3 C t U b 0 a H l p 9 O + + x k s B Z I A A A A A D o A A A A A C A A A g A A A A 9 p s w l v x r h p 7 Y 1 R I o w H u O N E M w t A k W I I Y j z 6 z y 7 e p o o g B Q A A A A + 8 I D L c x r c V S h j m W v W i d b Q O d F r e i U a h t Y L v d 3 X c Q L U m W D H W s h / y s H O e 0 0 F l j i 6 W E R a i r K w Q d P L g T q E k Q 8 p x O H c 3 v 6 g l r Q N V + 8 k I 1 u / 9 e a + q F A A A A A r J A Y B C g 2 n s Q b C / m N q b 9 C o 1 s k 3 m d I k G R z Z j j g H y G C M 2 r F E S 0 D i g h L d y T z S R r F G 6 e 1 H s g V k 6 6 K f p X E A x U a E d C j C g = = < / D a t a M a s h u p > 
</file>

<file path=customXml/itemProps1.xml><?xml version="1.0" encoding="utf-8"?>
<ds:datastoreItem xmlns:ds="http://schemas.openxmlformats.org/officeDocument/2006/customXml" ds:itemID="{E10E4141-50D9-424A-A1A3-39EBA75872B7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São Miguel</vt:lpstr>
      <vt:lpstr>% Renewable São Miguel</vt:lpstr>
      <vt:lpstr>Faial</vt:lpstr>
      <vt:lpstr>% Renewable Faial</vt:lpstr>
      <vt:lpstr>Flores</vt:lpstr>
      <vt:lpstr>% Renewable Flores</vt:lpstr>
      <vt:lpstr>Imports</vt:lpstr>
      <vt:lpstr>Batteries</vt:lpstr>
      <vt:lpstr>Links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pedro miguel manuel</dc:creator>
  <cp:keywords/>
  <dc:description/>
  <cp:lastModifiedBy>pedro miguel manuel</cp:lastModifiedBy>
  <cp:revision/>
  <dcterms:created xsi:type="dcterms:W3CDTF">2023-10-07T15:16:58Z</dcterms:created>
  <dcterms:modified xsi:type="dcterms:W3CDTF">2023-11-12T16:40:56Z</dcterms:modified>
  <cp:category/>
  <cp:contentStatus/>
</cp:coreProperties>
</file>